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F6684398-EB67-4378-9510-5B297E0DACC6}" xr6:coauthVersionLast="36" xr6:coauthVersionMax="36" xr10:uidLastSave="{00000000-0000-0000-0000-000000000000}"/>
  <bookViews>
    <workbookView xWindow="0" yWindow="0" windowWidth="28710" windowHeight="12000" xr2:uid="{00000000-000D-0000-FFFF-FFFF00000000}"/>
  </bookViews>
  <sheets>
    <sheet name="Wstęp" sheetId="4" r:id="rId1"/>
    <sheet name="Instrukcja" sheetId="12" r:id="rId2"/>
    <sheet name="Obliczenia nośności T" sheetId="6" r:id="rId3"/>
    <sheet name="Obliczenia nośności W" sheetId="20" r:id="rId4"/>
    <sheet name="Obliczenia nośności H" sheetId="22" r:id="rId5"/>
    <sheet name="Obliczenia wiatr I" sheetId="7" r:id="rId6"/>
    <sheet name="Obliczenia wiatr II" sheetId="1" r:id="rId7"/>
    <sheet name="Wyniki graficzne wiatr I" sheetId="10" r:id="rId8"/>
    <sheet name="Wyniki graficzne wiatr II" sheetId="9" r:id="rId9"/>
    <sheet name="Łączniki wiatr I" sheetId="23" r:id="rId10"/>
    <sheet name="Łączniki wiatr II" sheetId="17" r:id="rId11"/>
    <sheet name="Przemieszczenia wiatr I" sheetId="24" r:id="rId12"/>
    <sheet name="Przemieszczenia wiatr II" sheetId="21" r:id="rId13"/>
    <sheet name="Wyniki końcowe wiatr I" sheetId="25" r:id="rId14"/>
    <sheet name="Wyniki końcowe wiatr II" sheetId="26" r:id="rId15"/>
    <sheet name="Rozmieszczenie łączników" sheetId="19" r:id="rId16"/>
    <sheet name="Strefy i teren" sheetId="2" r:id="rId17"/>
    <sheet name="Wsp kierunkowy" sheetId="8" r:id="rId18"/>
    <sheet name="Pola ścian" sheetId="3" r:id="rId19"/>
    <sheet name="Wysokość przemieszczenia" sheetId="11" r:id="rId20"/>
    <sheet name="Notatki" sheetId="18" r:id="rId21"/>
  </sheets>
  <definedNames>
    <definedName name="liczby" localSheetId="9">'Obliczenia nośności T'!#REF!</definedName>
    <definedName name="liczby" localSheetId="10">'Obliczenia nośności T'!#REF!</definedName>
    <definedName name="liczby" localSheetId="4">'Obliczenia nośności H'!#REF!</definedName>
    <definedName name="liczby" localSheetId="3">'Obliczenia nośności W'!#REF!</definedName>
    <definedName name="liczby" localSheetId="11">'Obliczenia nośności T'!#REF!</definedName>
    <definedName name="liczby" localSheetId="12">'Obliczenia nośności T'!#REF!</definedName>
    <definedName name="liczby" localSheetId="15">'Obliczenia nośności T'!#REF!</definedName>
    <definedName name="liczby" localSheetId="13">'Obliczenia nośności T'!#REF!</definedName>
    <definedName name="liczby" localSheetId="14">'Obliczenia nośności T'!#REF!</definedName>
    <definedName name="liczby">'Obliczenia nośności T'!#REF!</definedName>
    <definedName name="liczby010" localSheetId="4">'Obliczenia nośności H'!$C$71:$C$91</definedName>
    <definedName name="liczby010" localSheetId="3">'Obliczenia nośności W'!$C$57:$C$77</definedName>
    <definedName name="liczby010">'Obliczenia nośności T'!$C$57:$C$77</definedName>
    <definedName name="Norma" localSheetId="4">'Obliczenia nośności H'!#REF!</definedName>
    <definedName name="Norma" localSheetId="2">'Obliczenia nośności T'!#REF!</definedName>
    <definedName name="Norma" localSheetId="3">'Obliczenia nośności W'!#REF!</definedName>
    <definedName name="Norma" localSheetId="5">'Obliczenia wiatr I'!$B$125:$B$127</definedName>
    <definedName name="Norma">'Obliczenia wiatr II'!$B$141:$B$143</definedName>
    <definedName name="p" localSheetId="9">'Obliczenia nośności T'!#REF!</definedName>
    <definedName name="p" localSheetId="4">'Obliczenia nośności H'!#REF!</definedName>
    <definedName name="p" localSheetId="11">'Obliczenia nośności T'!#REF!</definedName>
    <definedName name="p" localSheetId="13">'Obliczenia nośności T'!#REF!</definedName>
    <definedName name="p" localSheetId="14">'Obliczenia nośności T'!#REF!</definedName>
    <definedName name="p">'Obliczenia nośności T'!#REF!</definedName>
    <definedName name="Strefy" localSheetId="4">'Obliczenia nośności H'!#REF!</definedName>
    <definedName name="Strefy" localSheetId="2">'Obliczenia nośności T'!#REF!</definedName>
    <definedName name="Strefy" localSheetId="3">'Obliczenia nośności W'!#REF!</definedName>
    <definedName name="Strefy" localSheetId="5">'Obliczenia wiatr I'!$B$116:$B$118</definedName>
    <definedName name="Strefy">'Obliczenia wiatr II'!$B$131:$B$133</definedName>
    <definedName name="strefyn">'Obliczenia wiatr I'!$B$116:$B$119</definedName>
    <definedName name="strefyroz">'Obliczenia wiatr II'!$B$131:$B$135</definedName>
    <definedName name="Strfey" localSheetId="4">'Obliczenia nośności H'!#REF!</definedName>
    <definedName name="Strfey" localSheetId="2">'Obliczenia nośności T'!#REF!</definedName>
    <definedName name="Strfey" localSheetId="3">'Obliczenia nośności W'!#REF!</definedName>
    <definedName name="Strfey" localSheetId="5">'Obliczenia wiatr I'!$B$116:$B$118</definedName>
    <definedName name="Strfey">'Obliczenia wiatr II'!$B$131:$B$133</definedName>
    <definedName name="Teren" localSheetId="4">'Obliczenia nośności H'!#REF!</definedName>
    <definedName name="Teren" localSheetId="2">'Obliczenia nośności T'!#REF!</definedName>
    <definedName name="Teren" localSheetId="3">'Obliczenia nośności W'!#REF!</definedName>
    <definedName name="Teren" localSheetId="5">'Obliczenia wiatr I'!$B$120:$B$124</definedName>
    <definedName name="Teren">'Obliczenia wiatr II'!$B$136:$B$140</definedName>
    <definedName name="wspkier">'Obliczenia wiatr II'!$C$138:$C$139</definedName>
    <definedName name="wyso1">'Obliczenia wiatr I'!$D$116</definedName>
    <definedName name="wyso2">'Obliczenia wiatr I'!$D$118:$D$119</definedName>
    <definedName name="wyso3">'Obliczenia wiatr I'!$D$121:$D$124</definedName>
    <definedName name="wysod">'Obliczenia wiatr II'!$C$141:$C$142</definedName>
    <definedName name="wysodn">'Obliczenia wiatr I'!$C$125:$C$126</definedName>
    <definedName name="wysok1">'Obliczenia wiatr II'!$D$134</definedName>
    <definedName name="wysok2">'Obliczenia wiatr II'!$D$136:$D$137</definedName>
    <definedName name="wysok3">'Obliczenia wiatr II'!$D$139:$D$142</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20" i="9" l="1"/>
  <c r="K24" i="21"/>
  <c r="K24" i="17"/>
  <c r="K24" i="26"/>
  <c r="G81" i="1" l="1"/>
  <c r="G80" i="1"/>
  <c r="G79" i="1"/>
  <c r="F81" i="1"/>
  <c r="F80" i="1"/>
  <c r="F79" i="1"/>
  <c r="E81" i="1"/>
  <c r="E80" i="1"/>
  <c r="E79" i="1"/>
  <c r="D81" i="1"/>
  <c r="D80" i="1"/>
  <c r="D79" i="1"/>
  <c r="G91" i="1" l="1"/>
  <c r="F91" i="1"/>
  <c r="E91" i="1"/>
  <c r="D91" i="1"/>
  <c r="D88" i="7"/>
  <c r="O10" i="26" l="1"/>
  <c r="O9" i="26"/>
  <c r="O8" i="26"/>
  <c r="O10" i="25" l="1"/>
  <c r="O9" i="25"/>
  <c r="O8" i="25"/>
  <c r="M79" i="25" l="1"/>
  <c r="K79" i="25"/>
  <c r="V39" i="22" l="1"/>
  <c r="U39" i="22"/>
  <c r="T39" i="22"/>
  <c r="V38" i="22"/>
  <c r="U38" i="22"/>
  <c r="T38" i="22"/>
  <c r="V37" i="22"/>
  <c r="U37" i="22"/>
  <c r="T37" i="22"/>
  <c r="V33" i="22"/>
  <c r="U33" i="22"/>
  <c r="T33" i="22"/>
  <c r="V32" i="22"/>
  <c r="U32" i="22"/>
  <c r="T32" i="22"/>
  <c r="T23" i="22"/>
  <c r="U23" i="22"/>
  <c r="V23" i="22"/>
  <c r="T19" i="22"/>
  <c r="U19" i="22"/>
  <c r="V19" i="22"/>
  <c r="T15" i="22"/>
  <c r="U15" i="22"/>
  <c r="V15" i="22"/>
  <c r="T11" i="22"/>
  <c r="U11" i="22"/>
  <c r="V11" i="22"/>
  <c r="V9" i="22"/>
  <c r="V29" i="22" s="1"/>
  <c r="U9" i="22"/>
  <c r="T9" i="22"/>
  <c r="V8" i="22"/>
  <c r="U8" i="22"/>
  <c r="T8" i="22"/>
  <c r="T28" i="22" l="1"/>
  <c r="U29" i="22"/>
  <c r="T27" i="22"/>
  <c r="T29" i="22"/>
  <c r="V28" i="22"/>
  <c r="V34" i="22" s="1"/>
  <c r="U28" i="22"/>
  <c r="U40" i="22" s="1"/>
  <c r="V27" i="22"/>
  <c r="U27" i="22"/>
  <c r="E10" i="20"/>
  <c r="F10" i="20"/>
  <c r="G10" i="20"/>
  <c r="H10" i="20"/>
  <c r="I10" i="20"/>
  <c r="J10" i="20"/>
  <c r="K10" i="20"/>
  <c r="L10" i="20"/>
  <c r="M10" i="20"/>
  <c r="N10" i="20"/>
  <c r="O10" i="20"/>
  <c r="P10" i="20"/>
  <c r="D10" i="20"/>
  <c r="E10" i="6"/>
  <c r="F10" i="6"/>
  <c r="G10" i="6"/>
  <c r="H10" i="6"/>
  <c r="I10" i="6"/>
  <c r="J10" i="6"/>
  <c r="K10" i="6"/>
  <c r="L10" i="6"/>
  <c r="M10" i="6"/>
  <c r="N10" i="6"/>
  <c r="O10" i="6"/>
  <c r="P10" i="6"/>
  <c r="Q10" i="6"/>
  <c r="R10" i="6"/>
  <c r="S10" i="6"/>
  <c r="D10" i="6"/>
  <c r="T34" i="22" l="1"/>
  <c r="T40" i="22"/>
  <c r="V43" i="22"/>
  <c r="T43" i="22"/>
  <c r="V40" i="22"/>
  <c r="U43" i="22"/>
  <c r="U34" i="22"/>
  <c r="Q101" i="26"/>
  <c r="Q101" i="25"/>
  <c r="Q101" i="17"/>
  <c r="Q101" i="23"/>
  <c r="Q102" i="26"/>
  <c r="Q102" i="25"/>
  <c r="Q102" i="17"/>
  <c r="Q102" i="23"/>
  <c r="Q100" i="26"/>
  <c r="R100" i="26" s="1"/>
  <c r="Q100" i="25"/>
  <c r="R100" i="25" s="1"/>
  <c r="Q100" i="17"/>
  <c r="R100" i="17" s="1"/>
  <c r="Q100" i="23"/>
  <c r="R100" i="23" s="1"/>
  <c r="R102" i="26"/>
  <c r="R102" i="25"/>
  <c r="R102" i="17"/>
  <c r="R102" i="23"/>
  <c r="E23" i="22"/>
  <c r="F23" i="22"/>
  <c r="G23" i="22"/>
  <c r="H23" i="22"/>
  <c r="I23" i="22"/>
  <c r="J23" i="22"/>
  <c r="K23" i="22"/>
  <c r="L23" i="22"/>
  <c r="M23" i="22"/>
  <c r="N23" i="22"/>
  <c r="O23" i="22"/>
  <c r="P23" i="22"/>
  <c r="Q23" i="22"/>
  <c r="R23" i="22"/>
  <c r="S23" i="22"/>
  <c r="E19" i="22"/>
  <c r="F19" i="22"/>
  <c r="G19" i="22"/>
  <c r="H19" i="22"/>
  <c r="I19" i="22"/>
  <c r="J19" i="22"/>
  <c r="K19" i="22"/>
  <c r="L19" i="22"/>
  <c r="M19" i="22"/>
  <c r="N19" i="22"/>
  <c r="O19" i="22"/>
  <c r="P19" i="22"/>
  <c r="Q19" i="22"/>
  <c r="R19" i="22"/>
  <c r="S19" i="22"/>
  <c r="S15" i="22"/>
  <c r="R15" i="22"/>
  <c r="Q15" i="22"/>
  <c r="P15" i="22"/>
  <c r="O15" i="22"/>
  <c r="N15" i="22"/>
  <c r="M15" i="22"/>
  <c r="L15" i="22"/>
  <c r="K15" i="22"/>
  <c r="J15" i="22"/>
  <c r="I15" i="22"/>
  <c r="H15" i="22"/>
  <c r="G15" i="22"/>
  <c r="F15" i="22"/>
  <c r="E15" i="22"/>
  <c r="P11" i="22"/>
  <c r="Q11" i="22"/>
  <c r="R11" i="22"/>
  <c r="S11" i="22"/>
  <c r="J11" i="22"/>
  <c r="K11" i="22"/>
  <c r="L11" i="22"/>
  <c r="M11" i="22"/>
  <c r="N11" i="22"/>
  <c r="O11" i="22"/>
  <c r="E11" i="22"/>
  <c r="F11" i="22"/>
  <c r="G11" i="22"/>
  <c r="H11" i="22"/>
  <c r="I11" i="22"/>
  <c r="D23" i="22"/>
  <c r="D19" i="22"/>
  <c r="D15" i="22"/>
  <c r="D11" i="22"/>
  <c r="R101" i="17" l="1"/>
  <c r="R101" i="25"/>
  <c r="R101" i="26"/>
  <c r="R101" i="23"/>
  <c r="W23" i="22" l="1"/>
  <c r="W19" i="22"/>
  <c r="W15" i="22"/>
  <c r="M79" i="23" l="1"/>
  <c r="K79" i="23"/>
  <c r="M79" i="24"/>
  <c r="K79" i="24"/>
  <c r="W39" i="22" l="1"/>
  <c r="S39" i="22"/>
  <c r="R39" i="22"/>
  <c r="Q39" i="22"/>
  <c r="P39" i="22"/>
  <c r="O39" i="22"/>
  <c r="N39" i="22"/>
  <c r="M39" i="22"/>
  <c r="L39" i="22"/>
  <c r="K39" i="22"/>
  <c r="J39" i="22"/>
  <c r="I39" i="22"/>
  <c r="H39" i="22"/>
  <c r="G39" i="22"/>
  <c r="F39" i="22"/>
  <c r="E39" i="22"/>
  <c r="D39" i="22"/>
  <c r="W38" i="22"/>
  <c r="S38" i="22"/>
  <c r="R38" i="22"/>
  <c r="Q38" i="22"/>
  <c r="P38" i="22"/>
  <c r="O38" i="22"/>
  <c r="N38" i="22"/>
  <c r="M38" i="22"/>
  <c r="L38" i="22"/>
  <c r="K38" i="22"/>
  <c r="J38" i="22"/>
  <c r="I38" i="22"/>
  <c r="H38" i="22"/>
  <c r="G38" i="22"/>
  <c r="F38" i="22"/>
  <c r="E38" i="22"/>
  <c r="D38" i="22"/>
  <c r="W37" i="22"/>
  <c r="S37" i="22"/>
  <c r="R37" i="22"/>
  <c r="Q37" i="22"/>
  <c r="P37" i="22"/>
  <c r="O37" i="22"/>
  <c r="N37" i="22"/>
  <c r="M37" i="22"/>
  <c r="L37" i="22"/>
  <c r="K37" i="22"/>
  <c r="J37" i="22"/>
  <c r="I37" i="22"/>
  <c r="H37" i="22"/>
  <c r="G37" i="22"/>
  <c r="F37" i="22"/>
  <c r="E37" i="22"/>
  <c r="D37" i="22"/>
  <c r="W33" i="22"/>
  <c r="S33" i="22"/>
  <c r="R33" i="22"/>
  <c r="Q33" i="22"/>
  <c r="P33" i="22"/>
  <c r="O33" i="22"/>
  <c r="N33" i="22"/>
  <c r="M33" i="22"/>
  <c r="L33" i="22"/>
  <c r="K33" i="22"/>
  <c r="J33" i="22"/>
  <c r="I33" i="22"/>
  <c r="H33" i="22"/>
  <c r="G33" i="22"/>
  <c r="F33" i="22"/>
  <c r="E33" i="22"/>
  <c r="D33" i="22"/>
  <c r="W32" i="22"/>
  <c r="S32" i="22"/>
  <c r="R32" i="22"/>
  <c r="Q32" i="22"/>
  <c r="P32" i="22"/>
  <c r="O32" i="22"/>
  <c r="N32" i="22"/>
  <c r="M32" i="22"/>
  <c r="L32" i="22"/>
  <c r="K32" i="22"/>
  <c r="J32" i="22"/>
  <c r="I32" i="22"/>
  <c r="H32" i="22"/>
  <c r="G32" i="22"/>
  <c r="F32" i="22"/>
  <c r="E32" i="22"/>
  <c r="D32" i="22"/>
  <c r="W11" i="22"/>
  <c r="W9" i="22"/>
  <c r="S9" i="22"/>
  <c r="R9" i="22"/>
  <c r="Q9" i="22"/>
  <c r="P9" i="22"/>
  <c r="O9" i="22"/>
  <c r="N9" i="22"/>
  <c r="M9" i="22"/>
  <c r="L9" i="22"/>
  <c r="K9" i="22"/>
  <c r="J9" i="22"/>
  <c r="I9" i="22"/>
  <c r="H9" i="22"/>
  <c r="G9" i="22"/>
  <c r="F9" i="22"/>
  <c r="E9" i="22"/>
  <c r="D9" i="22"/>
  <c r="W8" i="22"/>
  <c r="S8" i="22"/>
  <c r="R8" i="22"/>
  <c r="Q8" i="22"/>
  <c r="P8" i="22"/>
  <c r="O8" i="22"/>
  <c r="N8" i="22"/>
  <c r="M8" i="22"/>
  <c r="L8" i="22"/>
  <c r="K8" i="22"/>
  <c r="J8" i="22"/>
  <c r="I8" i="22"/>
  <c r="H8" i="22"/>
  <c r="G8" i="22"/>
  <c r="F8" i="22"/>
  <c r="E8" i="22"/>
  <c r="D8" i="22"/>
  <c r="W29" i="22" l="1"/>
  <c r="W27" i="22"/>
  <c r="W28" i="22"/>
  <c r="J28" i="22"/>
  <c r="J29" i="22"/>
  <c r="J27" i="22"/>
  <c r="S29" i="22"/>
  <c r="S27" i="22"/>
  <c r="S28" i="22"/>
  <c r="M29" i="22"/>
  <c r="M27" i="22"/>
  <c r="M28" i="22"/>
  <c r="F29" i="22"/>
  <c r="F28" i="22"/>
  <c r="F27" i="22"/>
  <c r="N27" i="22"/>
  <c r="N28" i="22"/>
  <c r="N29" i="22"/>
  <c r="E28" i="22"/>
  <c r="E29" i="22"/>
  <c r="E43" i="22" s="1"/>
  <c r="E27" i="22"/>
  <c r="H27" i="22"/>
  <c r="H29" i="22"/>
  <c r="H28" i="22"/>
  <c r="H40" i="22" s="1"/>
  <c r="R27" i="22"/>
  <c r="R29" i="22"/>
  <c r="R28" i="22"/>
  <c r="K28" i="22"/>
  <c r="K27" i="22"/>
  <c r="Q91" i="23" s="1"/>
  <c r="K29" i="22"/>
  <c r="L29" i="22"/>
  <c r="L27" i="22"/>
  <c r="L28" i="22"/>
  <c r="G29" i="22"/>
  <c r="G27" i="22"/>
  <c r="G28" i="22"/>
  <c r="O28" i="22"/>
  <c r="O29" i="22"/>
  <c r="O27" i="22"/>
  <c r="P27" i="22"/>
  <c r="P28" i="22"/>
  <c r="P29" i="22"/>
  <c r="I28" i="22"/>
  <c r="I29" i="22"/>
  <c r="I43" i="22" s="1"/>
  <c r="I27" i="22"/>
  <c r="Q27" i="22"/>
  <c r="Q28" i="22"/>
  <c r="Q29" i="22"/>
  <c r="D29" i="22"/>
  <c r="D28" i="22"/>
  <c r="D27" i="22"/>
  <c r="Q86" i="23"/>
  <c r="J43" i="22"/>
  <c r="M43" i="22"/>
  <c r="Q96" i="26" l="1"/>
  <c r="R96" i="26" s="1"/>
  <c r="Q96" i="25"/>
  <c r="R96" i="25" s="1"/>
  <c r="Q95" i="26"/>
  <c r="Q95" i="25"/>
  <c r="Q86" i="26"/>
  <c r="Q86" i="25"/>
  <c r="Q97" i="26"/>
  <c r="Q97" i="25"/>
  <c r="Q88" i="26"/>
  <c r="Q88" i="25"/>
  <c r="Q89" i="26"/>
  <c r="R89" i="26" s="1"/>
  <c r="Q89" i="25"/>
  <c r="R89" i="25" s="1"/>
  <c r="Q91" i="26"/>
  <c r="Q91" i="25"/>
  <c r="Q85" i="26"/>
  <c r="R85" i="26" s="1"/>
  <c r="Q85" i="25"/>
  <c r="R85" i="25" s="1"/>
  <c r="Q94" i="26"/>
  <c r="Q94" i="25"/>
  <c r="Q99" i="26"/>
  <c r="Q99" i="25"/>
  <c r="Q84" i="26"/>
  <c r="R84" i="26" s="1"/>
  <c r="Q84" i="25"/>
  <c r="R84" i="25" s="1"/>
  <c r="Q87" i="26"/>
  <c r="Q87" i="25"/>
  <c r="Q93" i="26"/>
  <c r="Q93" i="25"/>
  <c r="R93" i="25" s="1"/>
  <c r="Q90" i="26"/>
  <c r="Q90" i="25"/>
  <c r="R90" i="25" s="1"/>
  <c r="Q103" i="26"/>
  <c r="Q103" i="25"/>
  <c r="Q103" i="17"/>
  <c r="Q103" i="23"/>
  <c r="Q92" i="26"/>
  <c r="Q92" i="25"/>
  <c r="Q98" i="25"/>
  <c r="Q98" i="26"/>
  <c r="R90" i="26"/>
  <c r="R93" i="26"/>
  <c r="I34" i="22"/>
  <c r="R43" i="22"/>
  <c r="D43" i="22"/>
  <c r="Q43" i="22"/>
  <c r="W43" i="22"/>
  <c r="Q91" i="17"/>
  <c r="I40" i="22"/>
  <c r="Q86" i="17"/>
  <c r="O40" i="22"/>
  <c r="O43" i="22"/>
  <c r="W40" i="22"/>
  <c r="S40" i="22"/>
  <c r="W34" i="22"/>
  <c r="Q92" i="23"/>
  <c r="Q92" i="17"/>
  <c r="Q93" i="23"/>
  <c r="R93" i="23" s="1"/>
  <c r="Q93" i="17"/>
  <c r="R93" i="17" s="1"/>
  <c r="Q84" i="23"/>
  <c r="Q84" i="17"/>
  <c r="Q97" i="23"/>
  <c r="Q97" i="17"/>
  <c r="Q95" i="23"/>
  <c r="Q95" i="17"/>
  <c r="Q85" i="23"/>
  <c r="R85" i="23" s="1"/>
  <c r="Q85" i="17"/>
  <c r="R85" i="17" s="1"/>
  <c r="Q99" i="23"/>
  <c r="Q99" i="17"/>
  <c r="Q98" i="23"/>
  <c r="Q98" i="17"/>
  <c r="Q96" i="23"/>
  <c r="Q96" i="17"/>
  <c r="Q94" i="23"/>
  <c r="Q94" i="17"/>
  <c r="Q34" i="22"/>
  <c r="Q90" i="23"/>
  <c r="R90" i="23" s="1"/>
  <c r="Q90" i="17"/>
  <c r="R90" i="17" s="1"/>
  <c r="Q89" i="23"/>
  <c r="R89" i="23" s="1"/>
  <c r="Q89" i="17"/>
  <c r="R89" i="17" s="1"/>
  <c r="Q87" i="23"/>
  <c r="Q87" i="17"/>
  <c r="Q88" i="23"/>
  <c r="Q88" i="17"/>
  <c r="N40" i="22"/>
  <c r="Q40" i="22"/>
  <c r="L43" i="22"/>
  <c r="R40" i="22"/>
  <c r="J40" i="22"/>
  <c r="J34" i="22"/>
  <c r="D34" i="22"/>
  <c r="O34" i="22"/>
  <c r="R34" i="22"/>
  <c r="G34" i="22"/>
  <c r="L34" i="22"/>
  <c r="M34" i="22"/>
  <c r="G40" i="22"/>
  <c r="E40" i="22"/>
  <c r="L40" i="22"/>
  <c r="G43" i="22"/>
  <c r="D40" i="22"/>
  <c r="M40" i="22"/>
  <c r="E34" i="22"/>
  <c r="K43" i="22"/>
  <c r="K34" i="22"/>
  <c r="K40" i="22"/>
  <c r="S34" i="22"/>
  <c r="S43" i="22"/>
  <c r="P34" i="22"/>
  <c r="P43" i="22"/>
  <c r="N34" i="22"/>
  <c r="N43" i="22"/>
  <c r="P40" i="22"/>
  <c r="H43" i="22"/>
  <c r="H34" i="22"/>
  <c r="F34" i="22"/>
  <c r="F43" i="22"/>
  <c r="F40" i="22"/>
  <c r="R88" i="26" l="1"/>
  <c r="R88" i="25"/>
  <c r="R94" i="26"/>
  <c r="R94" i="25"/>
  <c r="R92" i="25"/>
  <c r="R92" i="26"/>
  <c r="R103" i="25"/>
  <c r="R103" i="17"/>
  <c r="R103" i="26"/>
  <c r="R103" i="23"/>
  <c r="R97" i="25"/>
  <c r="R97" i="26"/>
  <c r="R97" i="23"/>
  <c r="R91" i="23"/>
  <c r="R91" i="25"/>
  <c r="R91" i="26"/>
  <c r="R86" i="23"/>
  <c r="R86" i="26"/>
  <c r="R86" i="25"/>
  <c r="R99" i="25"/>
  <c r="R99" i="26"/>
  <c r="R87" i="25"/>
  <c r="R87" i="26"/>
  <c r="R95" i="25"/>
  <c r="S88" i="25" s="1"/>
  <c r="R95" i="26"/>
  <c r="R98" i="25"/>
  <c r="R98" i="26"/>
  <c r="R84" i="23"/>
  <c r="R84" i="17"/>
  <c r="R95" i="23"/>
  <c r="R98" i="17"/>
  <c r="R98" i="23"/>
  <c r="R97" i="17"/>
  <c r="R96" i="17"/>
  <c r="R95" i="17"/>
  <c r="R99" i="17"/>
  <c r="R99" i="23"/>
  <c r="R94" i="17"/>
  <c r="R94" i="23"/>
  <c r="R92" i="17"/>
  <c r="R96" i="23"/>
  <c r="R92" i="23"/>
  <c r="R91" i="17"/>
  <c r="R86" i="17"/>
  <c r="R87" i="23"/>
  <c r="R88" i="17"/>
  <c r="R88" i="23"/>
  <c r="R87" i="17"/>
  <c r="S98" i="26" l="1"/>
  <c r="T98" i="26" s="1"/>
  <c r="S98" i="25"/>
  <c r="U98" i="25" s="1"/>
  <c r="S100" i="25"/>
  <c r="S102" i="25"/>
  <c r="S100" i="26"/>
  <c r="T100" i="26" s="1"/>
  <c r="S101" i="26"/>
  <c r="U101" i="26" s="1"/>
  <c r="S102" i="26"/>
  <c r="T102" i="26" s="1"/>
  <c r="S103" i="25"/>
  <c r="T103" i="25" s="1"/>
  <c r="U88" i="25"/>
  <c r="T88" i="25"/>
  <c r="U98" i="26"/>
  <c r="S93" i="25"/>
  <c r="S87" i="25"/>
  <c r="S96" i="26"/>
  <c r="S89" i="26"/>
  <c r="S85" i="26"/>
  <c r="S86" i="26"/>
  <c r="S96" i="17"/>
  <c r="S88" i="17"/>
  <c r="S89" i="17"/>
  <c r="S103" i="17"/>
  <c r="S95" i="17"/>
  <c r="S87" i="17"/>
  <c r="S85" i="17"/>
  <c r="S102" i="17"/>
  <c r="S94" i="17"/>
  <c r="S86" i="17"/>
  <c r="S101" i="17"/>
  <c r="S91" i="17"/>
  <c r="S97" i="17"/>
  <c r="S93" i="17"/>
  <c r="S99" i="17"/>
  <c r="S100" i="17"/>
  <c r="S92" i="17"/>
  <c r="S84" i="17"/>
  <c r="S98" i="17"/>
  <c r="S90" i="17"/>
  <c r="S99" i="25"/>
  <c r="S95" i="25"/>
  <c r="S87" i="26"/>
  <c r="S91" i="26"/>
  <c r="S88" i="26"/>
  <c r="S90" i="26"/>
  <c r="S101" i="25"/>
  <c r="S92" i="26"/>
  <c r="S97" i="26"/>
  <c r="S93" i="26"/>
  <c r="U100" i="25"/>
  <c r="T100" i="25"/>
  <c r="S84" i="26"/>
  <c r="S103" i="23"/>
  <c r="S102" i="23"/>
  <c r="S94" i="23"/>
  <c r="S86" i="23"/>
  <c r="S101" i="23"/>
  <c r="S93" i="23"/>
  <c r="S85" i="23"/>
  <c r="S87" i="23"/>
  <c r="S100" i="23"/>
  <c r="S92" i="23"/>
  <c r="S84" i="23"/>
  <c r="S90" i="23"/>
  <c r="S99" i="23"/>
  <c r="S91" i="23"/>
  <c r="S98" i="23"/>
  <c r="S95" i="23"/>
  <c r="S97" i="23"/>
  <c r="S89" i="23"/>
  <c r="S96" i="23"/>
  <c r="S88" i="23"/>
  <c r="S90" i="25"/>
  <c r="S103" i="26"/>
  <c r="S94" i="26"/>
  <c r="S84" i="25"/>
  <c r="S92" i="25"/>
  <c r="S91" i="25"/>
  <c r="S89" i="25"/>
  <c r="S97" i="25"/>
  <c r="S96" i="25"/>
  <c r="S94" i="25"/>
  <c r="S95" i="26"/>
  <c r="U102" i="25"/>
  <c r="T102" i="25"/>
  <c r="S85" i="25"/>
  <c r="S86" i="25"/>
  <c r="S99" i="26"/>
  <c r="U100" i="26" l="1"/>
  <c r="U103" i="25"/>
  <c r="U102" i="26"/>
  <c r="T101" i="26"/>
  <c r="T98" i="25"/>
  <c r="U92" i="26"/>
  <c r="T92" i="26"/>
  <c r="T91" i="25"/>
  <c r="U91" i="25"/>
  <c r="T101" i="25"/>
  <c r="U101" i="25"/>
  <c r="U85" i="26"/>
  <c r="T85" i="26"/>
  <c r="T97" i="23"/>
  <c r="U97" i="23"/>
  <c r="U100" i="23"/>
  <c r="T100" i="23"/>
  <c r="U103" i="23"/>
  <c r="T103" i="23"/>
  <c r="T90" i="26"/>
  <c r="U90" i="26"/>
  <c r="T90" i="17"/>
  <c r="U90" i="17"/>
  <c r="T91" i="17"/>
  <c r="U91" i="17"/>
  <c r="U103" i="17"/>
  <c r="T103" i="17"/>
  <c r="U89" i="26"/>
  <c r="T89" i="26"/>
  <c r="U89" i="25"/>
  <c r="T89" i="25"/>
  <c r="U93" i="17"/>
  <c r="T93" i="17"/>
  <c r="T89" i="23"/>
  <c r="U89" i="23"/>
  <c r="U99" i="25"/>
  <c r="T99" i="25"/>
  <c r="U92" i="25"/>
  <c r="T92" i="25"/>
  <c r="U84" i="25"/>
  <c r="T84" i="25"/>
  <c r="U95" i="23"/>
  <c r="T95" i="23"/>
  <c r="T87" i="23"/>
  <c r="U87" i="23"/>
  <c r="U84" i="26"/>
  <c r="T84" i="26"/>
  <c r="T98" i="17"/>
  <c r="U98" i="17"/>
  <c r="T101" i="17"/>
  <c r="U101" i="17"/>
  <c r="T89" i="17"/>
  <c r="U89" i="17"/>
  <c r="U96" i="26"/>
  <c r="T96" i="26"/>
  <c r="U94" i="23"/>
  <c r="T94" i="23"/>
  <c r="U102" i="23"/>
  <c r="T102" i="23"/>
  <c r="U95" i="26"/>
  <c r="T95" i="26"/>
  <c r="T98" i="23"/>
  <c r="U98" i="23"/>
  <c r="U85" i="23"/>
  <c r="T85" i="23"/>
  <c r="T84" i="17"/>
  <c r="U84" i="17"/>
  <c r="U86" i="17"/>
  <c r="T86" i="17"/>
  <c r="U88" i="17"/>
  <c r="T88" i="17"/>
  <c r="U87" i="25"/>
  <c r="T87" i="25"/>
  <c r="T86" i="25"/>
  <c r="U86" i="25"/>
  <c r="U95" i="25"/>
  <c r="T95" i="25"/>
  <c r="T85" i="25"/>
  <c r="U85" i="25"/>
  <c r="T97" i="17"/>
  <c r="U97" i="17"/>
  <c r="U94" i="26"/>
  <c r="T94" i="26"/>
  <c r="U94" i="25"/>
  <c r="T94" i="25"/>
  <c r="U103" i="26"/>
  <c r="T103" i="26"/>
  <c r="T91" i="23"/>
  <c r="U91" i="23"/>
  <c r="U93" i="23"/>
  <c r="T93" i="23"/>
  <c r="U88" i="26"/>
  <c r="T88" i="26"/>
  <c r="T92" i="17"/>
  <c r="U92" i="17"/>
  <c r="U94" i="17"/>
  <c r="T94" i="17"/>
  <c r="U96" i="17"/>
  <c r="T96" i="17"/>
  <c r="U93" i="25"/>
  <c r="T93" i="25"/>
  <c r="T96" i="23"/>
  <c r="U96" i="23"/>
  <c r="U87" i="17"/>
  <c r="T87" i="17"/>
  <c r="U92" i="23"/>
  <c r="T92" i="23"/>
  <c r="U95" i="17"/>
  <c r="T95" i="17"/>
  <c r="U96" i="25"/>
  <c r="T96" i="25"/>
  <c r="U90" i="25"/>
  <c r="T90" i="25"/>
  <c r="T99" i="23"/>
  <c r="U99" i="23"/>
  <c r="U101" i="23"/>
  <c r="T101" i="23"/>
  <c r="U93" i="26"/>
  <c r="T93" i="26"/>
  <c r="T91" i="26"/>
  <c r="U91" i="26"/>
  <c r="T100" i="17"/>
  <c r="U100" i="17"/>
  <c r="U102" i="17"/>
  <c r="T102" i="17"/>
  <c r="T86" i="26"/>
  <c r="U86" i="26"/>
  <c r="U84" i="23"/>
  <c r="T84" i="23"/>
  <c r="T99" i="26"/>
  <c r="U99" i="26"/>
  <c r="U97" i="25"/>
  <c r="T97" i="25"/>
  <c r="T88" i="23"/>
  <c r="U88" i="23"/>
  <c r="T90" i="23"/>
  <c r="U90" i="23"/>
  <c r="U86" i="23"/>
  <c r="T86" i="23"/>
  <c r="T97" i="26"/>
  <c r="U97" i="26"/>
  <c r="U87" i="26"/>
  <c r="T87" i="26"/>
  <c r="T99" i="17"/>
  <c r="U99" i="17"/>
  <c r="U85" i="17"/>
  <c r="T85" i="17"/>
  <c r="Q10" i="20"/>
  <c r="D24" i="20"/>
  <c r="Q25" i="20"/>
  <c r="P25" i="20"/>
  <c r="O25" i="20"/>
  <c r="N25" i="20"/>
  <c r="M25" i="20"/>
  <c r="L25" i="20"/>
  <c r="K25" i="20"/>
  <c r="J25" i="20"/>
  <c r="I25" i="20"/>
  <c r="H25" i="20"/>
  <c r="G25" i="20"/>
  <c r="F25" i="20"/>
  <c r="E25" i="20"/>
  <c r="D25" i="20"/>
  <c r="Q24" i="20"/>
  <c r="P24" i="20"/>
  <c r="O24" i="20"/>
  <c r="N24" i="20"/>
  <c r="M24" i="20"/>
  <c r="L24" i="20"/>
  <c r="K24" i="20"/>
  <c r="J24" i="20"/>
  <c r="I24" i="20"/>
  <c r="H24" i="20"/>
  <c r="G24" i="20"/>
  <c r="F24" i="20"/>
  <c r="E24" i="20"/>
  <c r="Q23" i="20"/>
  <c r="P23" i="20"/>
  <c r="O23" i="20"/>
  <c r="N23" i="20"/>
  <c r="M23" i="20"/>
  <c r="L23" i="20"/>
  <c r="K23" i="20"/>
  <c r="J23" i="20"/>
  <c r="I23" i="20"/>
  <c r="H23" i="20"/>
  <c r="G23" i="20"/>
  <c r="F23" i="20"/>
  <c r="E23" i="20"/>
  <c r="D23" i="20"/>
  <c r="Q19" i="20"/>
  <c r="P19" i="20"/>
  <c r="O19" i="20"/>
  <c r="N19" i="20"/>
  <c r="M19" i="20"/>
  <c r="L19" i="20"/>
  <c r="K19" i="20"/>
  <c r="J19" i="20"/>
  <c r="I19" i="20"/>
  <c r="H19" i="20"/>
  <c r="G19" i="20"/>
  <c r="F19" i="20"/>
  <c r="E19" i="20"/>
  <c r="D19" i="20"/>
  <c r="Q18" i="20"/>
  <c r="P18" i="20"/>
  <c r="O18" i="20"/>
  <c r="N18" i="20"/>
  <c r="M18" i="20"/>
  <c r="L18" i="20"/>
  <c r="K18" i="20"/>
  <c r="J18" i="20"/>
  <c r="I18" i="20"/>
  <c r="H18" i="20"/>
  <c r="G18" i="20"/>
  <c r="F18" i="20"/>
  <c r="E18" i="20"/>
  <c r="D18" i="20"/>
  <c r="Q9" i="20"/>
  <c r="P9" i="20"/>
  <c r="O9" i="20"/>
  <c r="N9" i="20"/>
  <c r="M9" i="20"/>
  <c r="L9" i="20"/>
  <c r="K9" i="20"/>
  <c r="J9" i="20"/>
  <c r="I9" i="20"/>
  <c r="H9" i="20"/>
  <c r="G9" i="20"/>
  <c r="F9" i="20"/>
  <c r="E9" i="20"/>
  <c r="D9" i="20"/>
  <c r="Q8" i="20"/>
  <c r="P8" i="20"/>
  <c r="O8" i="20"/>
  <c r="N8" i="20"/>
  <c r="M8" i="20"/>
  <c r="L8" i="20"/>
  <c r="K8" i="20"/>
  <c r="J8" i="20"/>
  <c r="I8" i="20"/>
  <c r="H8" i="20"/>
  <c r="G8" i="20"/>
  <c r="F8" i="20"/>
  <c r="E8" i="20"/>
  <c r="D8" i="20"/>
  <c r="P15" i="20" l="1"/>
  <c r="Q15" i="20"/>
  <c r="I15" i="20"/>
  <c r="J14" i="20"/>
  <c r="H15" i="20"/>
  <c r="O14" i="20"/>
  <c r="Q13" i="20"/>
  <c r="K14" i="20"/>
  <c r="L13" i="20"/>
  <c r="E15" i="20"/>
  <c r="M13" i="20"/>
  <c r="F13" i="20"/>
  <c r="N14" i="20"/>
  <c r="N15" i="20"/>
  <c r="G13" i="20"/>
  <c r="H14" i="20"/>
  <c r="J15" i="20"/>
  <c r="F14" i="20"/>
  <c r="P14" i="20"/>
  <c r="O15" i="20"/>
  <c r="K15" i="20"/>
  <c r="E14" i="20"/>
  <c r="D15" i="20"/>
  <c r="L14" i="20"/>
  <c r="L15" i="20"/>
  <c r="H13" i="20"/>
  <c r="N13" i="20"/>
  <c r="G14" i="20"/>
  <c r="M14" i="20"/>
  <c r="F15" i="20"/>
  <c r="I13" i="20"/>
  <c r="G15" i="20"/>
  <c r="J13" i="20"/>
  <c r="O13" i="20"/>
  <c r="I14" i="20"/>
  <c r="M15" i="20"/>
  <c r="K13" i="20"/>
  <c r="P13" i="20"/>
  <c r="D13" i="20"/>
  <c r="E13" i="20"/>
  <c r="D14" i="20"/>
  <c r="Q14" i="20"/>
  <c r="J84" i="23" l="1"/>
  <c r="K84" i="23" s="1"/>
  <c r="J84" i="26"/>
  <c r="K84" i="26" s="1"/>
  <c r="J84" i="25"/>
  <c r="K84" i="25" s="1"/>
  <c r="J87" i="23"/>
  <c r="J87" i="25"/>
  <c r="J87" i="26"/>
  <c r="J97" i="25"/>
  <c r="K97" i="25" s="1"/>
  <c r="J97" i="26"/>
  <c r="K97" i="26" s="1"/>
  <c r="J97" i="23"/>
  <c r="K97" i="23" s="1"/>
  <c r="J85" i="23"/>
  <c r="J85" i="26"/>
  <c r="J85" i="25"/>
  <c r="J89" i="23"/>
  <c r="J89" i="26"/>
  <c r="J89" i="25"/>
  <c r="J96" i="23"/>
  <c r="J96" i="26"/>
  <c r="J96" i="25"/>
  <c r="J86" i="23"/>
  <c r="J86" i="25"/>
  <c r="J86" i="26"/>
  <c r="J91" i="23"/>
  <c r="J91" i="26"/>
  <c r="J91" i="25"/>
  <c r="J94" i="23"/>
  <c r="J94" i="25"/>
  <c r="J94" i="26"/>
  <c r="J93" i="23"/>
  <c r="J93" i="25"/>
  <c r="J93" i="26"/>
  <c r="J95" i="23"/>
  <c r="J95" i="26"/>
  <c r="J95" i="25"/>
  <c r="J88" i="23"/>
  <c r="J88" i="26"/>
  <c r="J88" i="25"/>
  <c r="J90" i="23"/>
  <c r="J90" i="26"/>
  <c r="J90" i="25"/>
  <c r="J92" i="23"/>
  <c r="J92" i="26"/>
  <c r="J92" i="25"/>
  <c r="K26" i="20"/>
  <c r="K20" i="20"/>
  <c r="K29" i="20"/>
  <c r="Q20" i="20"/>
  <c r="Q29" i="20"/>
  <c r="E29" i="20"/>
  <c r="E20" i="20"/>
  <c r="O29" i="20"/>
  <c r="O20" i="20"/>
  <c r="L20" i="20"/>
  <c r="L29" i="20"/>
  <c r="M29" i="20"/>
  <c r="M20" i="20"/>
  <c r="N20" i="20"/>
  <c r="N29" i="20"/>
  <c r="H29" i="20"/>
  <c r="H20" i="20"/>
  <c r="G20" i="20"/>
  <c r="G29" i="20"/>
  <c r="J20" i="20"/>
  <c r="J29" i="20"/>
  <c r="I20" i="20"/>
  <c r="I29" i="20"/>
  <c r="P29" i="20"/>
  <c r="P20" i="20"/>
  <c r="F29" i="20"/>
  <c r="F20" i="20"/>
  <c r="D20" i="20"/>
  <c r="D29" i="20"/>
  <c r="I26" i="20"/>
  <c r="J88" i="17"/>
  <c r="J86" i="17"/>
  <c r="J90" i="17"/>
  <c r="J93" i="17"/>
  <c r="J84" i="17"/>
  <c r="K84" i="17" s="1"/>
  <c r="J94" i="17"/>
  <c r="J95" i="17"/>
  <c r="J26" i="20"/>
  <c r="J85" i="17"/>
  <c r="J92" i="17"/>
  <c r="J96" i="17"/>
  <c r="H26" i="20"/>
  <c r="J91" i="17"/>
  <c r="J87" i="17"/>
  <c r="J97" i="17"/>
  <c r="J89" i="17"/>
  <c r="O26" i="20"/>
  <c r="P26" i="20"/>
  <c r="E26" i="20"/>
  <c r="F26" i="20"/>
  <c r="L26" i="20"/>
  <c r="N26" i="20"/>
  <c r="M26" i="20"/>
  <c r="Q26" i="20"/>
  <c r="G26" i="20"/>
  <c r="D26" i="20"/>
  <c r="K92" i="23" l="1"/>
  <c r="K91" i="25"/>
  <c r="K91" i="26"/>
  <c r="K90" i="25"/>
  <c r="K95" i="26"/>
  <c r="K90" i="26"/>
  <c r="K93" i="26"/>
  <c r="K91" i="23"/>
  <c r="K89" i="26"/>
  <c r="K87" i="26"/>
  <c r="K90" i="23"/>
  <c r="K93" i="25"/>
  <c r="K86" i="26"/>
  <c r="K89" i="23"/>
  <c r="K87" i="25"/>
  <c r="K88" i="25"/>
  <c r="K93" i="23"/>
  <c r="K86" i="25"/>
  <c r="K85" i="25"/>
  <c r="K87" i="23"/>
  <c r="K88" i="26"/>
  <c r="K94" i="26"/>
  <c r="K86" i="23"/>
  <c r="K85" i="26"/>
  <c r="K96" i="23"/>
  <c r="K89" i="25"/>
  <c r="K92" i="25"/>
  <c r="K88" i="23"/>
  <c r="K94" i="25"/>
  <c r="K96" i="25"/>
  <c r="K85" i="23"/>
  <c r="K95" i="23"/>
  <c r="K96" i="17"/>
  <c r="K92" i="26"/>
  <c r="K95" i="25"/>
  <c r="K94" i="23"/>
  <c r="K96" i="26"/>
  <c r="K97" i="17"/>
  <c r="K90" i="17"/>
  <c r="K91" i="17"/>
  <c r="K87" i="17"/>
  <c r="K85" i="17"/>
  <c r="K93" i="17"/>
  <c r="K89" i="17"/>
  <c r="K95" i="17"/>
  <c r="K94" i="17"/>
  <c r="K92" i="17"/>
  <c r="K86" i="17"/>
  <c r="K88" i="17"/>
  <c r="O25" i="6"/>
  <c r="N25" i="6"/>
  <c r="O24" i="6"/>
  <c r="N24" i="6"/>
  <c r="O23" i="6"/>
  <c r="N23" i="6"/>
  <c r="O19" i="6"/>
  <c r="N19" i="6"/>
  <c r="O18" i="6"/>
  <c r="N18" i="6"/>
  <c r="O9" i="6"/>
  <c r="N9" i="6"/>
  <c r="O8" i="6"/>
  <c r="N8" i="6"/>
  <c r="L88" i="26" l="1"/>
  <c r="L92" i="26"/>
  <c r="M92" i="26" s="1"/>
  <c r="L93" i="26"/>
  <c r="L97" i="25"/>
  <c r="M97" i="25" s="1"/>
  <c r="L96" i="25"/>
  <c r="N96" i="25" s="1"/>
  <c r="L89" i="26"/>
  <c r="M89" i="26" s="1"/>
  <c r="L96" i="26"/>
  <c r="M96" i="26" s="1"/>
  <c r="L86" i="25"/>
  <c r="M86" i="25" s="1"/>
  <c r="L91" i="26"/>
  <c r="M91" i="26" s="1"/>
  <c r="L94" i="26"/>
  <c r="M94" i="26" s="1"/>
  <c r="N88" i="26"/>
  <c r="M88" i="26"/>
  <c r="L85" i="26"/>
  <c r="L92" i="25"/>
  <c r="L88" i="25"/>
  <c r="L86" i="26"/>
  <c r="L87" i="26"/>
  <c r="L91" i="25"/>
  <c r="L93" i="25"/>
  <c r="N97" i="25"/>
  <c r="L85" i="25"/>
  <c r="L84" i="26"/>
  <c r="L97" i="26"/>
  <c r="L95" i="25"/>
  <c r="L95" i="26"/>
  <c r="L89" i="25"/>
  <c r="N93" i="26"/>
  <c r="M93" i="26"/>
  <c r="L90" i="26"/>
  <c r="L84" i="25"/>
  <c r="L87" i="25"/>
  <c r="L94" i="25"/>
  <c r="L96" i="23"/>
  <c r="L86" i="23"/>
  <c r="L94" i="23"/>
  <c r="L92" i="23"/>
  <c r="L97" i="23"/>
  <c r="L87" i="23"/>
  <c r="L84" i="23"/>
  <c r="L93" i="23"/>
  <c r="L95" i="23"/>
  <c r="L85" i="23"/>
  <c r="L89" i="23"/>
  <c r="L88" i="23"/>
  <c r="L91" i="23"/>
  <c r="L90" i="23"/>
  <c r="L90" i="25"/>
  <c r="O14" i="6"/>
  <c r="N14" i="6"/>
  <c r="O15" i="6"/>
  <c r="N13" i="6"/>
  <c r="N15" i="6"/>
  <c r="O13" i="6"/>
  <c r="K24" i="6"/>
  <c r="O26" i="6" l="1"/>
  <c r="C95" i="23"/>
  <c r="C95" i="25"/>
  <c r="C95" i="26"/>
  <c r="C94" i="23"/>
  <c r="C94" i="25"/>
  <c r="C94" i="26"/>
  <c r="N92" i="26"/>
  <c r="N96" i="26"/>
  <c r="M96" i="25"/>
  <c r="N89" i="26"/>
  <c r="N91" i="26"/>
  <c r="N86" i="25"/>
  <c r="N94" i="26"/>
  <c r="N94" i="23"/>
  <c r="M94" i="23"/>
  <c r="N90" i="26"/>
  <c r="M90" i="26"/>
  <c r="N97" i="26"/>
  <c r="M97" i="26"/>
  <c r="M86" i="26"/>
  <c r="N86" i="26"/>
  <c r="N85" i="23"/>
  <c r="M85" i="23"/>
  <c r="N86" i="23"/>
  <c r="M86" i="23"/>
  <c r="N84" i="26"/>
  <c r="M84" i="26"/>
  <c r="M93" i="23"/>
  <c r="N93" i="23"/>
  <c r="M94" i="25"/>
  <c r="N94" i="25"/>
  <c r="M89" i="25"/>
  <c r="N89" i="25"/>
  <c r="N88" i="25"/>
  <c r="M88" i="25"/>
  <c r="M89" i="23"/>
  <c r="N89" i="23"/>
  <c r="M90" i="25"/>
  <c r="N90" i="25"/>
  <c r="N95" i="26"/>
  <c r="M95" i="26"/>
  <c r="M92" i="25"/>
  <c r="N92" i="25"/>
  <c r="N96" i="23"/>
  <c r="M96" i="23"/>
  <c r="M90" i="23"/>
  <c r="N90" i="23"/>
  <c r="M87" i="23"/>
  <c r="N87" i="23"/>
  <c r="N93" i="25"/>
  <c r="M93" i="25"/>
  <c r="N85" i="26"/>
  <c r="M85" i="26"/>
  <c r="M95" i="23"/>
  <c r="N95" i="23"/>
  <c r="N85" i="25"/>
  <c r="M85" i="25"/>
  <c r="N84" i="23"/>
  <c r="M84" i="23"/>
  <c r="N91" i="23"/>
  <c r="M91" i="23"/>
  <c r="N97" i="23"/>
  <c r="M97" i="23"/>
  <c r="N87" i="25"/>
  <c r="M87" i="25"/>
  <c r="N91" i="25"/>
  <c r="M91" i="25"/>
  <c r="N88" i="23"/>
  <c r="M88" i="23"/>
  <c r="M92" i="23"/>
  <c r="N92" i="23"/>
  <c r="N84" i="25"/>
  <c r="M84" i="25"/>
  <c r="N95" i="25"/>
  <c r="M95" i="25"/>
  <c r="N87" i="26"/>
  <c r="M87" i="26"/>
  <c r="N29" i="6"/>
  <c r="N20" i="6"/>
  <c r="O20" i="6"/>
  <c r="O29" i="6"/>
  <c r="C94" i="17"/>
  <c r="C95" i="17"/>
  <c r="N26" i="6"/>
  <c r="D25" i="6"/>
  <c r="D95" i="25" l="1"/>
  <c r="D95" i="26"/>
  <c r="D94" i="26"/>
  <c r="D94" i="25"/>
  <c r="D95" i="23"/>
  <c r="D94" i="23"/>
  <c r="D95" i="17"/>
  <c r="D94" i="17"/>
  <c r="I24" i="6" l="1"/>
  <c r="G24" i="6"/>
  <c r="D24" i="6"/>
  <c r="D8" i="6" l="1"/>
  <c r="D9" i="6"/>
  <c r="D18" i="6"/>
  <c r="D19" i="6"/>
  <c r="D23" i="6"/>
  <c r="G8" i="6"/>
  <c r="G9" i="6"/>
  <c r="G18" i="6"/>
  <c r="G19" i="6"/>
  <c r="G23" i="6"/>
  <c r="G25" i="6"/>
  <c r="E24" i="6"/>
  <c r="G14" i="6" l="1"/>
  <c r="G15" i="6"/>
  <c r="G29" i="6" s="1"/>
  <c r="G13" i="6"/>
  <c r="D14" i="6"/>
  <c r="D15" i="6"/>
  <c r="D13" i="6"/>
  <c r="C84" i="23" l="1"/>
  <c r="D84" i="23" s="1"/>
  <c r="C84" i="26"/>
  <c r="D84" i="26" s="1"/>
  <c r="C84" i="25"/>
  <c r="D84" i="25" s="1"/>
  <c r="C87" i="23"/>
  <c r="C87" i="26"/>
  <c r="D87" i="26" s="1"/>
  <c r="C87" i="25"/>
  <c r="D87" i="25" s="1"/>
  <c r="D87" i="23"/>
  <c r="D20" i="6"/>
  <c r="D29" i="6"/>
  <c r="G20" i="6"/>
  <c r="C84" i="17"/>
  <c r="C87" i="17"/>
  <c r="G26" i="6"/>
  <c r="D26" i="6"/>
  <c r="D87" i="17" l="1"/>
  <c r="D84" i="17"/>
  <c r="G41" i="1"/>
  <c r="F41" i="1"/>
  <c r="C46" i="7"/>
  <c r="R24" i="25" l="1"/>
  <c r="E24" i="25"/>
  <c r="E24" i="24"/>
  <c r="R24" i="24"/>
  <c r="E24" i="23"/>
  <c r="R24" i="23"/>
  <c r="R20" i="10"/>
  <c r="E20" i="10"/>
  <c r="D60" i="7"/>
  <c r="D58" i="7"/>
  <c r="D51" i="7"/>
  <c r="D49" i="7"/>
  <c r="C43" i="7" l="1"/>
  <c r="T25" i="6" l="1"/>
  <c r="T24" i="6"/>
  <c r="T23" i="6"/>
  <c r="T19" i="6"/>
  <c r="T18" i="6"/>
  <c r="T10" i="6"/>
  <c r="T9" i="6"/>
  <c r="T8" i="6"/>
  <c r="T15" i="6" l="1"/>
  <c r="T13" i="6"/>
  <c r="T14" i="6"/>
  <c r="C17" i="7"/>
  <c r="C100" i="26" l="1"/>
  <c r="C100" i="25"/>
  <c r="C100" i="23"/>
  <c r="T29" i="6"/>
  <c r="T20" i="6"/>
  <c r="C100" i="17"/>
  <c r="T26" i="6"/>
  <c r="C18" i="1"/>
  <c r="C9" i="1"/>
  <c r="D100" i="25" l="1"/>
  <c r="D100" i="26"/>
  <c r="D100" i="23"/>
  <c r="D100" i="17"/>
  <c r="C13" i="7"/>
  <c r="C9" i="7"/>
  <c r="D15" i="1" l="1"/>
  <c r="G15" i="1"/>
  <c r="F15" i="1"/>
  <c r="E15" i="1"/>
  <c r="N54" i="11" l="1"/>
  <c r="G43" i="1" l="1"/>
  <c r="F43" i="1"/>
  <c r="E43" i="1"/>
  <c r="M64" i="10" l="1"/>
  <c r="K64" i="10"/>
  <c r="K25" i="6" l="1"/>
  <c r="K23" i="6"/>
  <c r="K19" i="6"/>
  <c r="K18" i="6"/>
  <c r="K9" i="6"/>
  <c r="K8" i="6"/>
  <c r="I25" i="6"/>
  <c r="I23" i="6"/>
  <c r="I19" i="6"/>
  <c r="I18" i="6"/>
  <c r="I9" i="6"/>
  <c r="I8" i="6"/>
  <c r="E25" i="6"/>
  <c r="E23" i="6"/>
  <c r="E19" i="6"/>
  <c r="E18" i="6"/>
  <c r="I15" i="6" l="1"/>
  <c r="I14" i="6"/>
  <c r="K14" i="6"/>
  <c r="K15" i="6"/>
  <c r="I13" i="6"/>
  <c r="K13" i="6"/>
  <c r="E9" i="6"/>
  <c r="E8" i="6"/>
  <c r="C89" i="23" l="1"/>
  <c r="C89" i="26"/>
  <c r="C89" i="25"/>
  <c r="C91" i="23"/>
  <c r="C91" i="25"/>
  <c r="C91" i="26"/>
  <c r="K26" i="6"/>
  <c r="K29" i="6"/>
  <c r="K20" i="6"/>
  <c r="I29" i="6"/>
  <c r="I20" i="6"/>
  <c r="C91" i="17"/>
  <c r="C89" i="17"/>
  <c r="I26" i="6"/>
  <c r="E13" i="6"/>
  <c r="E15" i="6"/>
  <c r="E14" i="6"/>
  <c r="G90" i="1"/>
  <c r="F90" i="1"/>
  <c r="E90" i="1"/>
  <c r="D58" i="1"/>
  <c r="E58" i="1"/>
  <c r="F58" i="1"/>
  <c r="G58" i="1"/>
  <c r="D56" i="1"/>
  <c r="E56" i="1"/>
  <c r="F56" i="1"/>
  <c r="G56" i="1"/>
  <c r="C85" i="23" l="1"/>
  <c r="C85" i="25"/>
  <c r="C85" i="26"/>
  <c r="D89" i="25"/>
  <c r="D89" i="26"/>
  <c r="D91" i="25"/>
  <c r="D91" i="26"/>
  <c r="D89" i="23"/>
  <c r="D91" i="23"/>
  <c r="E29" i="6"/>
  <c r="E20" i="6"/>
  <c r="C85" i="17"/>
  <c r="D89" i="17"/>
  <c r="D91" i="17"/>
  <c r="E26" i="6"/>
  <c r="D24" i="1"/>
  <c r="E24" i="1"/>
  <c r="F24" i="1"/>
  <c r="G24" i="1"/>
  <c r="D23" i="1"/>
  <c r="E23" i="1"/>
  <c r="F23" i="1"/>
  <c r="G23" i="1"/>
  <c r="E22" i="1"/>
  <c r="E25" i="1" s="1"/>
  <c r="F22" i="1"/>
  <c r="F25" i="1" s="1"/>
  <c r="G22" i="1"/>
  <c r="G25" i="1" s="1"/>
  <c r="D22" i="1"/>
  <c r="D25" i="1" s="1"/>
  <c r="G30" i="1"/>
  <c r="F30" i="1"/>
  <c r="E30" i="1"/>
  <c r="G29" i="1"/>
  <c r="F29" i="1"/>
  <c r="E29" i="1"/>
  <c r="G28" i="1"/>
  <c r="G42" i="1" s="1"/>
  <c r="F28" i="1"/>
  <c r="F42" i="1" s="1"/>
  <c r="E28" i="1"/>
  <c r="E42" i="1" s="1"/>
  <c r="D30" i="1"/>
  <c r="D29" i="1"/>
  <c r="J56" i="21" l="1"/>
  <c r="J52" i="9"/>
  <c r="J12" i="21"/>
  <c r="J8" i="9"/>
  <c r="J12" i="26"/>
  <c r="J12" i="17"/>
  <c r="J56" i="26"/>
  <c r="J56" i="17"/>
  <c r="K64" i="9"/>
  <c r="K79" i="26"/>
  <c r="K79" i="21"/>
  <c r="K79" i="17"/>
  <c r="M64" i="9"/>
  <c r="M79" i="26"/>
  <c r="M79" i="21"/>
  <c r="M79" i="17"/>
  <c r="N79" i="26"/>
  <c r="N79" i="21"/>
  <c r="N79" i="17"/>
  <c r="L64" i="9"/>
  <c r="L79" i="26"/>
  <c r="L79" i="21"/>
  <c r="L79" i="17"/>
  <c r="D85" i="25"/>
  <c r="D85" i="26"/>
  <c r="D85" i="23"/>
  <c r="D85" i="17"/>
  <c r="F40" i="1"/>
  <c r="G40" i="1"/>
  <c r="E40" i="1"/>
  <c r="N64" i="9"/>
  <c r="F72" i="1"/>
  <c r="F82" i="1" s="1"/>
  <c r="G34" i="1"/>
  <c r="G37" i="1" s="1"/>
  <c r="F34" i="1"/>
  <c r="F37" i="1" s="1"/>
  <c r="E72" i="1"/>
  <c r="E82" i="1" s="1"/>
  <c r="G72" i="1"/>
  <c r="G82" i="1" s="1"/>
  <c r="E34" i="1"/>
  <c r="E35" i="1" s="1"/>
  <c r="N77" i="26" l="1"/>
  <c r="N77" i="21"/>
  <c r="N77" i="17"/>
  <c r="L60" i="9"/>
  <c r="L75" i="26"/>
  <c r="L75" i="21"/>
  <c r="L75" i="17"/>
  <c r="M62" i="9"/>
  <c r="M77" i="26"/>
  <c r="M77" i="21"/>
  <c r="M77" i="17"/>
  <c r="E45" i="1"/>
  <c r="E46" i="1" s="1"/>
  <c r="E54" i="1"/>
  <c r="E55" i="1" s="1"/>
  <c r="G45" i="1"/>
  <c r="G50" i="1" s="1"/>
  <c r="G59" i="1" s="1"/>
  <c r="G54" i="1"/>
  <c r="G55" i="1" s="1"/>
  <c r="F45" i="1"/>
  <c r="F46" i="1" s="1"/>
  <c r="F54" i="1"/>
  <c r="F55" i="1" s="1"/>
  <c r="N62" i="9"/>
  <c r="F36" i="1"/>
  <c r="F35" i="1"/>
  <c r="G36" i="1"/>
  <c r="G35" i="1"/>
  <c r="E37" i="1"/>
  <c r="E36" i="1"/>
  <c r="L61" i="9" l="1"/>
  <c r="L76" i="26"/>
  <c r="L76" i="21"/>
  <c r="L76" i="17"/>
  <c r="N60" i="9"/>
  <c r="N75" i="26"/>
  <c r="N75" i="21"/>
  <c r="N75" i="17"/>
  <c r="L77" i="26"/>
  <c r="L77" i="21"/>
  <c r="L77" i="17"/>
  <c r="N61" i="9"/>
  <c r="N76" i="26"/>
  <c r="N76" i="21"/>
  <c r="N76" i="17"/>
  <c r="M60" i="9"/>
  <c r="M75" i="26"/>
  <c r="M75" i="21"/>
  <c r="M75" i="17"/>
  <c r="M61" i="9"/>
  <c r="M76" i="26"/>
  <c r="M76" i="21"/>
  <c r="M76" i="17"/>
  <c r="G46" i="1"/>
  <c r="G63" i="1"/>
  <c r="F50" i="1"/>
  <c r="F59" i="1" s="1"/>
  <c r="F63" i="1"/>
  <c r="E50" i="1"/>
  <c r="E59" i="1" s="1"/>
  <c r="E63" i="1"/>
  <c r="J49" i="9"/>
  <c r="L62" i="9"/>
  <c r="J53" i="21" l="1"/>
  <c r="J53" i="26"/>
  <c r="J53" i="17"/>
  <c r="D87" i="7"/>
  <c r="C74" i="7"/>
  <c r="C79" i="7" s="1"/>
  <c r="C60" i="7"/>
  <c r="C58" i="7"/>
  <c r="C30" i="7"/>
  <c r="C33" i="7" s="1"/>
  <c r="D26" i="7"/>
  <c r="D25" i="7"/>
  <c r="D24" i="7"/>
  <c r="D46" i="7" s="1"/>
  <c r="C20" i="7"/>
  <c r="C19" i="7"/>
  <c r="C47" i="7" s="1"/>
  <c r="C18" i="7"/>
  <c r="C21" i="7" s="1"/>
  <c r="C12" i="7"/>
  <c r="S25" i="6"/>
  <c r="R25" i="6"/>
  <c r="Q25" i="6"/>
  <c r="P25" i="6"/>
  <c r="M25" i="6"/>
  <c r="L25" i="6"/>
  <c r="J25" i="6"/>
  <c r="H25" i="6"/>
  <c r="F25" i="6"/>
  <c r="S24" i="6"/>
  <c r="R24" i="6"/>
  <c r="Q24" i="6"/>
  <c r="P24" i="6"/>
  <c r="M24" i="6"/>
  <c r="L24" i="6"/>
  <c r="J24" i="6"/>
  <c r="H24" i="6"/>
  <c r="F24" i="6"/>
  <c r="S23" i="6"/>
  <c r="R23" i="6"/>
  <c r="Q23" i="6"/>
  <c r="P23" i="6"/>
  <c r="M23" i="6"/>
  <c r="L23" i="6"/>
  <c r="J23" i="6"/>
  <c r="H23" i="6"/>
  <c r="F23" i="6"/>
  <c r="S19" i="6"/>
  <c r="R19" i="6"/>
  <c r="Q19" i="6"/>
  <c r="P19" i="6"/>
  <c r="M19" i="6"/>
  <c r="L19" i="6"/>
  <c r="J19" i="6"/>
  <c r="H19" i="6"/>
  <c r="F19" i="6"/>
  <c r="S18" i="6"/>
  <c r="R18" i="6"/>
  <c r="Q18" i="6"/>
  <c r="P18" i="6"/>
  <c r="M18" i="6"/>
  <c r="L18" i="6"/>
  <c r="J18" i="6"/>
  <c r="H18" i="6"/>
  <c r="F18" i="6"/>
  <c r="S9" i="6"/>
  <c r="R9" i="6"/>
  <c r="Q9" i="6"/>
  <c r="P9" i="6"/>
  <c r="M9" i="6"/>
  <c r="L9" i="6"/>
  <c r="J9" i="6"/>
  <c r="H9" i="6"/>
  <c r="F9" i="6"/>
  <c r="S8" i="6"/>
  <c r="R8" i="6"/>
  <c r="Q8" i="6"/>
  <c r="P8" i="6"/>
  <c r="M8" i="6"/>
  <c r="L8" i="6"/>
  <c r="J8" i="6"/>
  <c r="H8" i="6"/>
  <c r="F8" i="6"/>
  <c r="J56" i="24" l="1"/>
  <c r="J56" i="25"/>
  <c r="J12" i="25"/>
  <c r="J12" i="24"/>
  <c r="J12" i="23"/>
  <c r="J56" i="23"/>
  <c r="J52" i="10"/>
  <c r="J8" i="10"/>
  <c r="L64" i="10"/>
  <c r="N79" i="25"/>
  <c r="L79" i="25"/>
  <c r="L79" i="23"/>
  <c r="N79" i="24"/>
  <c r="L79" i="24"/>
  <c r="N79" i="23"/>
  <c r="N64" i="10"/>
  <c r="M77" i="25"/>
  <c r="K77" i="25"/>
  <c r="K77" i="24"/>
  <c r="M77" i="24"/>
  <c r="M77" i="23"/>
  <c r="K77" i="23"/>
  <c r="C66" i="7"/>
  <c r="D66" i="7"/>
  <c r="P14" i="6"/>
  <c r="P15" i="6"/>
  <c r="L14" i="6"/>
  <c r="L15" i="6"/>
  <c r="R13" i="6"/>
  <c r="R15" i="6"/>
  <c r="R14" i="6"/>
  <c r="F15" i="6"/>
  <c r="F14" i="6"/>
  <c r="S14" i="6"/>
  <c r="S15" i="6"/>
  <c r="M15" i="6"/>
  <c r="M14" i="6"/>
  <c r="Q14" i="6"/>
  <c r="Q15" i="6"/>
  <c r="H15" i="6"/>
  <c r="H14" i="6"/>
  <c r="J14" i="6"/>
  <c r="J15" i="6"/>
  <c r="D47" i="7"/>
  <c r="D65" i="7" s="1"/>
  <c r="D67" i="7" s="1"/>
  <c r="D43" i="7"/>
  <c r="C56" i="7"/>
  <c r="C57" i="7" s="1"/>
  <c r="C59" i="7" s="1"/>
  <c r="K62" i="10"/>
  <c r="M62" i="10"/>
  <c r="F13" i="6"/>
  <c r="S13" i="6"/>
  <c r="D30" i="7"/>
  <c r="D33" i="7" s="1"/>
  <c r="C31" i="7"/>
  <c r="C32" i="7"/>
  <c r="D74" i="7"/>
  <c r="D79" i="7" s="1"/>
  <c r="H13" i="6"/>
  <c r="Q13" i="6"/>
  <c r="J13" i="6"/>
  <c r="M13" i="6"/>
  <c r="P13" i="6"/>
  <c r="L13" i="6"/>
  <c r="C86" i="23" l="1"/>
  <c r="C86" i="25"/>
  <c r="C86" i="26"/>
  <c r="C97" i="23"/>
  <c r="C97" i="25"/>
  <c r="C97" i="26"/>
  <c r="C90" i="23"/>
  <c r="C90" i="25"/>
  <c r="C90" i="26"/>
  <c r="C98" i="23"/>
  <c r="C98" i="26"/>
  <c r="C98" i="25"/>
  <c r="C92" i="23"/>
  <c r="C92" i="26"/>
  <c r="C92" i="25"/>
  <c r="C88" i="23"/>
  <c r="C88" i="26"/>
  <c r="C88" i="25"/>
  <c r="C96" i="23"/>
  <c r="C96" i="25"/>
  <c r="C96" i="26"/>
  <c r="C93" i="23"/>
  <c r="C93" i="25"/>
  <c r="C93" i="26"/>
  <c r="C99" i="23"/>
  <c r="C99" i="26"/>
  <c r="C99" i="25"/>
  <c r="K75" i="25"/>
  <c r="M75" i="25"/>
  <c r="M75" i="24"/>
  <c r="K75" i="24"/>
  <c r="M75" i="23"/>
  <c r="K75" i="23"/>
  <c r="F24" i="23" s="1"/>
  <c r="K76" i="25"/>
  <c r="M76" i="25"/>
  <c r="K76" i="24"/>
  <c r="M76" i="23"/>
  <c r="M76" i="24"/>
  <c r="K76" i="23"/>
  <c r="N77" i="25"/>
  <c r="L77" i="25"/>
  <c r="N77" i="24"/>
  <c r="L77" i="24"/>
  <c r="N77" i="23"/>
  <c r="L77" i="23"/>
  <c r="D85" i="7"/>
  <c r="D92" i="7" s="1"/>
  <c r="L20" i="6"/>
  <c r="L29" i="6"/>
  <c r="M29" i="6"/>
  <c r="M20" i="6"/>
  <c r="S29" i="6"/>
  <c r="S20" i="6"/>
  <c r="Q29" i="6"/>
  <c r="D97" i="23" s="1"/>
  <c r="Q20" i="6"/>
  <c r="P20" i="6"/>
  <c r="P29" i="6"/>
  <c r="D96" i="23" s="1"/>
  <c r="H29" i="6"/>
  <c r="H20" i="6"/>
  <c r="J29" i="6"/>
  <c r="J20" i="6"/>
  <c r="F20" i="6"/>
  <c r="F29" i="6"/>
  <c r="D86" i="23" s="1"/>
  <c r="R29" i="6"/>
  <c r="R20" i="6"/>
  <c r="C96" i="17"/>
  <c r="C98" i="17"/>
  <c r="C93" i="17"/>
  <c r="C92" i="17"/>
  <c r="C86" i="17"/>
  <c r="C97" i="17"/>
  <c r="C99" i="17"/>
  <c r="C90" i="17"/>
  <c r="C88" i="17"/>
  <c r="D56" i="7"/>
  <c r="D57" i="7" s="1"/>
  <c r="D59" i="7" s="1"/>
  <c r="D52" i="7"/>
  <c r="D48" i="7"/>
  <c r="D50" i="7" s="1"/>
  <c r="F26" i="6"/>
  <c r="H26" i="6"/>
  <c r="J26" i="6"/>
  <c r="N62" i="10"/>
  <c r="L62" i="10"/>
  <c r="K61" i="10"/>
  <c r="M61" i="10"/>
  <c r="K60" i="10"/>
  <c r="M60" i="10"/>
  <c r="L26" i="6"/>
  <c r="R26" i="6"/>
  <c r="Q26" i="6"/>
  <c r="S26" i="6"/>
  <c r="M26" i="6"/>
  <c r="C36" i="7"/>
  <c r="D32" i="7"/>
  <c r="D31" i="7"/>
  <c r="P26" i="6"/>
  <c r="C65" i="7"/>
  <c r="C67" i="7" s="1"/>
  <c r="C52" i="7"/>
  <c r="C48" i="7"/>
  <c r="C50" i="7" s="1"/>
  <c r="D90" i="23" l="1"/>
  <c r="D93" i="23"/>
  <c r="F24" i="24"/>
  <c r="N75" i="25"/>
  <c r="L75" i="25"/>
  <c r="N75" i="23"/>
  <c r="L75" i="23"/>
  <c r="N75" i="24"/>
  <c r="J53" i="24" s="1"/>
  <c r="L75" i="24"/>
  <c r="N76" i="25"/>
  <c r="L76" i="25"/>
  <c r="L76" i="24"/>
  <c r="N76" i="23"/>
  <c r="L76" i="23"/>
  <c r="N76" i="24"/>
  <c r="F24" i="25"/>
  <c r="D99" i="25"/>
  <c r="D99" i="26"/>
  <c r="D93" i="25"/>
  <c r="D93" i="26"/>
  <c r="D96" i="25"/>
  <c r="D96" i="26"/>
  <c r="D92" i="26"/>
  <c r="D92" i="25"/>
  <c r="D98" i="25"/>
  <c r="D98" i="26"/>
  <c r="D99" i="23"/>
  <c r="D90" i="26"/>
  <c r="D90" i="25"/>
  <c r="D86" i="26"/>
  <c r="D86" i="25"/>
  <c r="D98" i="23"/>
  <c r="D88" i="25"/>
  <c r="D88" i="26"/>
  <c r="D97" i="25"/>
  <c r="D97" i="26"/>
  <c r="D88" i="23"/>
  <c r="D92" i="23"/>
  <c r="D90" i="17"/>
  <c r="D99" i="17"/>
  <c r="D97" i="17"/>
  <c r="D93" i="17"/>
  <c r="D92" i="17"/>
  <c r="D88" i="17"/>
  <c r="D86" i="17"/>
  <c r="D98" i="17"/>
  <c r="D96" i="17"/>
  <c r="F20" i="10"/>
  <c r="D61" i="7"/>
  <c r="D62" i="7" s="1"/>
  <c r="D71" i="7" s="1"/>
  <c r="D53" i="7"/>
  <c r="C37" i="7"/>
  <c r="L60" i="10"/>
  <c r="N60" i="10"/>
  <c r="L61" i="10"/>
  <c r="N61" i="10"/>
  <c r="C38" i="7"/>
  <c r="D36" i="7"/>
  <c r="C71" i="7"/>
  <c r="C53" i="7"/>
  <c r="C61" i="7"/>
  <c r="C62" i="7" s="1"/>
  <c r="J53" i="25" l="1"/>
  <c r="E90" i="23"/>
  <c r="F90" i="23" s="1"/>
  <c r="J53" i="23"/>
  <c r="E86" i="23"/>
  <c r="F86" i="23" s="1"/>
  <c r="E94" i="23"/>
  <c r="G94" i="23" s="1"/>
  <c r="E100" i="23"/>
  <c r="F100" i="23" s="1"/>
  <c r="E96" i="23"/>
  <c r="E97" i="23"/>
  <c r="E87" i="23"/>
  <c r="E91" i="23"/>
  <c r="E89" i="23"/>
  <c r="E90" i="25"/>
  <c r="E98" i="25"/>
  <c r="E94" i="25"/>
  <c r="E97" i="25"/>
  <c r="E99" i="25"/>
  <c r="E92" i="25"/>
  <c r="E95" i="25"/>
  <c r="E91" i="25"/>
  <c r="E87" i="25"/>
  <c r="E93" i="25"/>
  <c r="E86" i="25"/>
  <c r="E85" i="25"/>
  <c r="E84" i="25"/>
  <c r="E89" i="25"/>
  <c r="E96" i="25"/>
  <c r="E88" i="25"/>
  <c r="E100" i="25"/>
  <c r="E98" i="23"/>
  <c r="E95" i="23"/>
  <c r="E99" i="23"/>
  <c r="E93" i="26"/>
  <c r="E98" i="26"/>
  <c r="E96" i="26"/>
  <c r="E97" i="26"/>
  <c r="E91" i="26"/>
  <c r="E84" i="26"/>
  <c r="E100" i="26"/>
  <c r="E87" i="26"/>
  <c r="E94" i="26"/>
  <c r="E85" i="26"/>
  <c r="E92" i="26"/>
  <c r="E89" i="26"/>
  <c r="E99" i="26"/>
  <c r="E90" i="26"/>
  <c r="E88" i="26"/>
  <c r="E95" i="26"/>
  <c r="E86" i="26"/>
  <c r="E92" i="23"/>
  <c r="E85" i="23"/>
  <c r="E88" i="23"/>
  <c r="E93" i="23"/>
  <c r="E84" i="23"/>
  <c r="E95" i="17"/>
  <c r="F95" i="17" s="1"/>
  <c r="E92" i="17"/>
  <c r="G92" i="17" s="1"/>
  <c r="E91" i="17"/>
  <c r="F91" i="17" s="1"/>
  <c r="E94" i="17"/>
  <c r="F94" i="17" s="1"/>
  <c r="E93" i="17"/>
  <c r="G93" i="17" s="1"/>
  <c r="E89" i="17"/>
  <c r="F89" i="17" s="1"/>
  <c r="E99" i="17"/>
  <c r="F99" i="17" s="1"/>
  <c r="E98" i="17"/>
  <c r="F98" i="17" s="1"/>
  <c r="E90" i="17"/>
  <c r="F90" i="17" s="1"/>
  <c r="E85" i="17"/>
  <c r="G85" i="17" s="1"/>
  <c r="E100" i="17"/>
  <c r="F100" i="17" s="1"/>
  <c r="E96" i="17"/>
  <c r="F96" i="17" s="1"/>
  <c r="E86" i="17"/>
  <c r="G86" i="17" s="1"/>
  <c r="L87" i="17"/>
  <c r="M87" i="17" s="1"/>
  <c r="L96" i="17"/>
  <c r="L86" i="17"/>
  <c r="L93" i="17"/>
  <c r="L84" i="17"/>
  <c r="L89" i="17"/>
  <c r="L90" i="17"/>
  <c r="L97" i="17"/>
  <c r="L91" i="17"/>
  <c r="L95" i="17"/>
  <c r="E97" i="17"/>
  <c r="F97" i="17" s="1"/>
  <c r="E88" i="17"/>
  <c r="L88" i="17"/>
  <c r="M88" i="17" s="1"/>
  <c r="L92" i="17"/>
  <c r="L94" i="17"/>
  <c r="E87" i="17"/>
  <c r="F87" i="17" s="1"/>
  <c r="E84" i="17"/>
  <c r="F84" i="17" s="1"/>
  <c r="L85" i="17"/>
  <c r="D86" i="7"/>
  <c r="D93" i="7" s="1"/>
  <c r="D84" i="7"/>
  <c r="D91" i="7" s="1"/>
  <c r="D83" i="7"/>
  <c r="D90" i="7" s="1"/>
  <c r="J49" i="10"/>
  <c r="C39" i="7"/>
  <c r="C40" i="7" s="1"/>
  <c r="C97" i="7" s="1"/>
  <c r="C85" i="7"/>
  <c r="C92" i="7" s="1"/>
  <c r="C84" i="7"/>
  <c r="C91" i="7" s="1"/>
  <c r="D38" i="7"/>
  <c r="D37" i="7"/>
  <c r="C86" i="7"/>
  <c r="C93" i="7" s="1"/>
  <c r="C83" i="7"/>
  <c r="C90" i="7" s="1"/>
  <c r="D90" i="1"/>
  <c r="G86" i="23" l="1"/>
  <c r="G90" i="23"/>
  <c r="G100" i="23"/>
  <c r="F94" i="23"/>
  <c r="G95" i="17"/>
  <c r="G96" i="25"/>
  <c r="F96" i="25"/>
  <c r="G95" i="25"/>
  <c r="F95" i="25"/>
  <c r="G86" i="26"/>
  <c r="F86" i="26"/>
  <c r="F94" i="26"/>
  <c r="G94" i="26"/>
  <c r="F93" i="26"/>
  <c r="G93" i="26"/>
  <c r="F89" i="25"/>
  <c r="G89" i="25"/>
  <c r="F92" i="25"/>
  <c r="G92" i="25"/>
  <c r="G91" i="23"/>
  <c r="F91" i="23"/>
  <c r="G95" i="26"/>
  <c r="F95" i="26"/>
  <c r="G88" i="26"/>
  <c r="F88" i="26"/>
  <c r="F100" i="26"/>
  <c r="G100" i="26"/>
  <c r="F99" i="23"/>
  <c r="G99" i="23"/>
  <c r="G85" i="25"/>
  <c r="F85" i="25"/>
  <c r="F97" i="25"/>
  <c r="G97" i="25"/>
  <c r="G87" i="23"/>
  <c r="F87" i="23"/>
  <c r="F84" i="23"/>
  <c r="G84" i="23"/>
  <c r="F90" i="26"/>
  <c r="G90" i="26"/>
  <c r="F84" i="26"/>
  <c r="G84" i="26"/>
  <c r="G95" i="23"/>
  <c r="F95" i="23"/>
  <c r="G86" i="25"/>
  <c r="F86" i="25"/>
  <c r="F94" i="25"/>
  <c r="G94" i="25"/>
  <c r="G97" i="23"/>
  <c r="F97" i="23"/>
  <c r="F85" i="26"/>
  <c r="G85" i="26"/>
  <c r="F87" i="26"/>
  <c r="G87" i="26"/>
  <c r="F84" i="25"/>
  <c r="G84" i="25"/>
  <c r="F92" i="17"/>
  <c r="F93" i="23"/>
  <c r="G93" i="23"/>
  <c r="G99" i="26"/>
  <c r="F99" i="26"/>
  <c r="G91" i="26"/>
  <c r="F91" i="26"/>
  <c r="G98" i="23"/>
  <c r="F98" i="23"/>
  <c r="F93" i="25"/>
  <c r="G93" i="25"/>
  <c r="G98" i="25"/>
  <c r="F98" i="25"/>
  <c r="G96" i="23"/>
  <c r="F96" i="23"/>
  <c r="F92" i="23"/>
  <c r="G92" i="23"/>
  <c r="G99" i="25"/>
  <c r="F99" i="25"/>
  <c r="F88" i="23"/>
  <c r="G88" i="23"/>
  <c r="F89" i="26"/>
  <c r="G89" i="26"/>
  <c r="F97" i="26"/>
  <c r="G97" i="26"/>
  <c r="F100" i="25"/>
  <c r="G100" i="25"/>
  <c r="G87" i="25"/>
  <c r="F87" i="25"/>
  <c r="F90" i="25"/>
  <c r="G90" i="25"/>
  <c r="G98" i="26"/>
  <c r="F98" i="26"/>
  <c r="F85" i="23"/>
  <c r="G85" i="23"/>
  <c r="G92" i="26"/>
  <c r="F92" i="26"/>
  <c r="G96" i="26"/>
  <c r="F96" i="26"/>
  <c r="G88" i="25"/>
  <c r="F88" i="25"/>
  <c r="G91" i="25"/>
  <c r="F91" i="25"/>
  <c r="F89" i="23"/>
  <c r="G89" i="23"/>
  <c r="G88" i="17"/>
  <c r="F88" i="17"/>
  <c r="F85" i="17"/>
  <c r="G94" i="17"/>
  <c r="F93" i="17"/>
  <c r="G96" i="17"/>
  <c r="F86" i="17"/>
  <c r="G89" i="17"/>
  <c r="G91" i="17"/>
  <c r="G98" i="17"/>
  <c r="G99" i="17"/>
  <c r="G100" i="17"/>
  <c r="G84" i="17"/>
  <c r="G90" i="17"/>
  <c r="G87" i="17"/>
  <c r="N87" i="17"/>
  <c r="G97" i="17"/>
  <c r="N88" i="17"/>
  <c r="M84" i="17"/>
  <c r="N84" i="17"/>
  <c r="M85" i="17"/>
  <c r="N85" i="17"/>
  <c r="M93" i="17"/>
  <c r="N93" i="17"/>
  <c r="M95" i="17"/>
  <c r="N95" i="17"/>
  <c r="M86" i="17"/>
  <c r="N86" i="17"/>
  <c r="M91" i="17"/>
  <c r="N91" i="17"/>
  <c r="M96" i="17"/>
  <c r="N96" i="17"/>
  <c r="M97" i="17"/>
  <c r="N97" i="17"/>
  <c r="N90" i="17"/>
  <c r="M90" i="17"/>
  <c r="M94" i="17"/>
  <c r="N94" i="17"/>
  <c r="M92" i="17"/>
  <c r="N92" i="17"/>
  <c r="M89" i="17"/>
  <c r="N89" i="17"/>
  <c r="C98" i="7"/>
  <c r="D98" i="7"/>
  <c r="C94" i="7"/>
  <c r="D94" i="7"/>
  <c r="D39" i="7"/>
  <c r="K72" i="10"/>
  <c r="M72" i="10"/>
  <c r="N71" i="10"/>
  <c r="L71" i="10"/>
  <c r="N70" i="10"/>
  <c r="L70" i="10"/>
  <c r="K69" i="10"/>
  <c r="M69" i="10"/>
  <c r="M70" i="10"/>
  <c r="K70" i="10"/>
  <c r="N72" i="10"/>
  <c r="L72" i="10"/>
  <c r="N69" i="10"/>
  <c r="L69" i="10"/>
  <c r="M71" i="10"/>
  <c r="K71" i="10"/>
  <c r="D40" i="7"/>
  <c r="D97" i="7" s="1"/>
  <c r="P79" i="10" l="1"/>
  <c r="F79" i="10"/>
  <c r="U90" i="10"/>
  <c r="U100" i="10"/>
  <c r="U83" i="10"/>
  <c r="U92" i="10"/>
  <c r="U80" i="10"/>
  <c r="U85" i="10"/>
  <c r="U89" i="10"/>
  <c r="U96" i="10"/>
  <c r="U97" i="10"/>
  <c r="F86" i="10"/>
  <c r="P94" i="10"/>
  <c r="F93" i="10"/>
  <c r="P93" i="10"/>
  <c r="F94" i="10"/>
  <c r="P86" i="10"/>
  <c r="P99" i="10"/>
  <c r="F98" i="10"/>
  <c r="F95" i="10"/>
  <c r="P98" i="10"/>
  <c r="F91" i="10"/>
  <c r="P91" i="10"/>
  <c r="P95" i="10"/>
  <c r="F99" i="10"/>
  <c r="P81" i="10"/>
  <c r="F78" i="10"/>
  <c r="F81" i="10"/>
  <c r="P78" i="10"/>
  <c r="K88" i="10"/>
  <c r="U84" i="10"/>
  <c r="U88" i="10"/>
  <c r="K84" i="10"/>
  <c r="F96" i="10"/>
  <c r="F100" i="10"/>
  <c r="F83" i="10"/>
  <c r="F85" i="10"/>
  <c r="P80" i="10"/>
  <c r="F90" i="10"/>
  <c r="P89" i="10"/>
  <c r="F89" i="10"/>
  <c r="F80" i="10"/>
  <c r="F97" i="10"/>
  <c r="F92" i="10"/>
  <c r="F88" i="10"/>
  <c r="F84" i="10"/>
  <c r="P88" i="10"/>
  <c r="P84" i="10"/>
  <c r="U81" i="10"/>
  <c r="K78" i="10"/>
  <c r="K81" i="10"/>
  <c r="U78" i="10"/>
  <c r="U82" i="10"/>
  <c r="U87" i="10"/>
  <c r="K82" i="10"/>
  <c r="K87" i="10"/>
  <c r="K79" i="10"/>
  <c r="U79" i="10"/>
  <c r="U94" i="10"/>
  <c r="K93" i="10"/>
  <c r="K94" i="10"/>
  <c r="U86" i="10"/>
  <c r="U93" i="10"/>
  <c r="K86" i="10"/>
  <c r="P97" i="10"/>
  <c r="P90" i="10"/>
  <c r="P85" i="10"/>
  <c r="P92" i="10"/>
  <c r="P96" i="10"/>
  <c r="P83" i="10"/>
  <c r="P100" i="10"/>
  <c r="U95" i="10"/>
  <c r="K91" i="10"/>
  <c r="U98" i="10"/>
  <c r="U99" i="10"/>
  <c r="K99" i="10"/>
  <c r="K95" i="10"/>
  <c r="K98" i="10"/>
  <c r="U91" i="10"/>
  <c r="P82" i="10"/>
  <c r="P87" i="10"/>
  <c r="F87" i="10"/>
  <c r="F82" i="10"/>
  <c r="K89" i="10"/>
  <c r="K92" i="10"/>
  <c r="K97" i="10"/>
  <c r="K96" i="10"/>
  <c r="K85" i="10"/>
  <c r="K80" i="10"/>
  <c r="K83" i="10"/>
  <c r="K100" i="10"/>
  <c r="K90" i="10"/>
  <c r="D28" i="1"/>
  <c r="D42" i="1" s="1"/>
  <c r="R24" i="21" l="1"/>
  <c r="R20" i="9"/>
  <c r="E24" i="21"/>
  <c r="E20" i="9"/>
  <c r="R24" i="26"/>
  <c r="R24" i="17"/>
  <c r="E24" i="26"/>
  <c r="E24" i="17"/>
  <c r="D40" i="1"/>
  <c r="U102" i="10"/>
  <c r="P102" i="10"/>
  <c r="F102" i="10"/>
  <c r="K102" i="10"/>
  <c r="D72" i="1"/>
  <c r="D82" i="1" s="1"/>
  <c r="D34" i="1"/>
  <c r="D54" i="1" l="1"/>
  <c r="D55" i="1" s="1"/>
  <c r="D45" i="1"/>
  <c r="D50" i="1" s="1"/>
  <c r="D59" i="1" s="1"/>
  <c r="J11" i="10"/>
  <c r="N11" i="10"/>
  <c r="J45" i="10"/>
  <c r="N45" i="10"/>
  <c r="G36" i="10"/>
  <c r="G20" i="10"/>
  <c r="Q20" i="10"/>
  <c r="Q36" i="10"/>
  <c r="L40" i="10"/>
  <c r="K45" i="10"/>
  <c r="M45" i="10"/>
  <c r="K11" i="10"/>
  <c r="M11" i="10"/>
  <c r="G32" i="10"/>
  <c r="G24" i="10"/>
  <c r="Q24" i="10"/>
  <c r="Q32" i="10"/>
  <c r="J40" i="10"/>
  <c r="L45" i="10"/>
  <c r="M40" i="10"/>
  <c r="K40" i="10"/>
  <c r="N40" i="10"/>
  <c r="H36" i="10"/>
  <c r="H28" i="10"/>
  <c r="G28" i="10"/>
  <c r="H32" i="10"/>
  <c r="H20" i="10"/>
  <c r="H24" i="10"/>
  <c r="M15" i="10"/>
  <c r="L15" i="10"/>
  <c r="L11" i="10"/>
  <c r="K15" i="10"/>
  <c r="N15" i="10"/>
  <c r="J15" i="10"/>
  <c r="O36" i="10"/>
  <c r="O32" i="10"/>
  <c r="O28" i="10"/>
  <c r="O24" i="10"/>
  <c r="O20" i="10"/>
  <c r="Q28" i="10"/>
  <c r="D37" i="1"/>
  <c r="D36" i="1"/>
  <c r="D35" i="1"/>
  <c r="K60" i="9" l="1"/>
  <c r="K75" i="26"/>
  <c r="K75" i="21"/>
  <c r="K75" i="17"/>
  <c r="K61" i="9"/>
  <c r="K76" i="26"/>
  <c r="K76" i="21"/>
  <c r="K76" i="17"/>
  <c r="K62" i="9"/>
  <c r="K77" i="26"/>
  <c r="K77" i="21"/>
  <c r="K77" i="17"/>
  <c r="O65" i="25"/>
  <c r="O65" i="24"/>
  <c r="O65" i="23"/>
  <c r="G40" i="25"/>
  <c r="G40" i="23"/>
  <c r="G40" i="24"/>
  <c r="O67" i="25"/>
  <c r="O67" i="23"/>
  <c r="O67" i="24"/>
  <c r="I65" i="25"/>
  <c r="I65" i="24"/>
  <c r="I65" i="23"/>
  <c r="M69" i="25"/>
  <c r="M69" i="23"/>
  <c r="M69" i="24"/>
  <c r="K15" i="23"/>
  <c r="K15" i="25"/>
  <c r="K15" i="24"/>
  <c r="N49" i="23"/>
  <c r="N49" i="25"/>
  <c r="N49" i="24"/>
  <c r="N69" i="25"/>
  <c r="N69" i="24"/>
  <c r="N69" i="23"/>
  <c r="M63" i="25"/>
  <c r="M63" i="23"/>
  <c r="M63" i="24"/>
  <c r="O68" i="25"/>
  <c r="O68" i="23"/>
  <c r="O68" i="24"/>
  <c r="I64" i="25"/>
  <c r="I64" i="24"/>
  <c r="I64" i="23"/>
  <c r="L49" i="23"/>
  <c r="L49" i="25"/>
  <c r="L49" i="24"/>
  <c r="M49" i="23"/>
  <c r="M49" i="25"/>
  <c r="M49" i="24"/>
  <c r="J49" i="25"/>
  <c r="J49" i="23"/>
  <c r="J49" i="24"/>
  <c r="O64" i="25"/>
  <c r="O64" i="24"/>
  <c r="O64" i="23"/>
  <c r="L63" i="25"/>
  <c r="L63" i="23"/>
  <c r="L63" i="24"/>
  <c r="O66" i="25"/>
  <c r="O66" i="23"/>
  <c r="O66" i="24"/>
  <c r="K69" i="25"/>
  <c r="K69" i="23"/>
  <c r="K69" i="24"/>
  <c r="M15" i="25"/>
  <c r="M15" i="23"/>
  <c r="M15" i="24"/>
  <c r="J63" i="25"/>
  <c r="J63" i="24"/>
  <c r="J63" i="23"/>
  <c r="I67" i="25"/>
  <c r="I67" i="24"/>
  <c r="I67" i="23"/>
  <c r="J69" i="25"/>
  <c r="J69" i="23"/>
  <c r="J69" i="24"/>
  <c r="K49" i="23"/>
  <c r="K49" i="25"/>
  <c r="K49" i="24"/>
  <c r="N15" i="23"/>
  <c r="N15" i="25"/>
  <c r="N15" i="24"/>
  <c r="G24" i="25"/>
  <c r="G24" i="23"/>
  <c r="G24" i="24"/>
  <c r="N63" i="25"/>
  <c r="N63" i="24"/>
  <c r="N63" i="23"/>
  <c r="G32" i="25"/>
  <c r="G32" i="23"/>
  <c r="G32" i="24"/>
  <c r="Q36" i="25"/>
  <c r="Q36" i="23"/>
  <c r="Q36" i="24"/>
  <c r="L69" i="25"/>
  <c r="L69" i="23"/>
  <c r="L69" i="24"/>
  <c r="J15" i="23"/>
  <c r="J15" i="25"/>
  <c r="J15" i="24"/>
  <c r="G36" i="25"/>
  <c r="G36" i="23"/>
  <c r="G36" i="24"/>
  <c r="Q32" i="25"/>
  <c r="Q32" i="23"/>
  <c r="Q32" i="24"/>
  <c r="K63" i="25"/>
  <c r="K63" i="23"/>
  <c r="K63" i="24"/>
  <c r="I66" i="25"/>
  <c r="I66" i="24"/>
  <c r="I66" i="23"/>
  <c r="Q28" i="25"/>
  <c r="Q28" i="23"/>
  <c r="Q28" i="24"/>
  <c r="Q40" i="23"/>
  <c r="Q40" i="25"/>
  <c r="Q40" i="24"/>
  <c r="L15" i="25"/>
  <c r="L15" i="23"/>
  <c r="L15" i="24"/>
  <c r="I68" i="25"/>
  <c r="I68" i="23"/>
  <c r="I68" i="24"/>
  <c r="G28" i="25"/>
  <c r="G28" i="23"/>
  <c r="G28" i="24"/>
  <c r="Q24" i="25"/>
  <c r="Q24" i="23"/>
  <c r="Q24" i="24"/>
  <c r="D46" i="1"/>
  <c r="D63" i="1"/>
  <c r="D13" i="1"/>
  <c r="F20" i="9" l="1"/>
  <c r="F24" i="17"/>
  <c r="F24" i="21"/>
  <c r="F24" i="26"/>
  <c r="N47" i="23" a="1"/>
  <c r="N47" i="23" s="1"/>
  <c r="N44" i="23" a="1"/>
  <c r="N44" i="23" s="1"/>
  <c r="N47" i="24" s="1"/>
  <c r="H32" i="23" a="1"/>
  <c r="H32" i="23" s="1"/>
  <c r="I32" i="23" a="1"/>
  <c r="I32" i="23" s="1"/>
  <c r="H32" i="24" s="1"/>
  <c r="L47" i="23" a="1"/>
  <c r="L47" i="23" s="1"/>
  <c r="L44" i="23" a="1"/>
  <c r="L44" i="23" s="1"/>
  <c r="L47" i="24" s="1"/>
  <c r="N19" i="23" a="1"/>
  <c r="N19" i="23" s="1"/>
  <c r="N21" i="23" a="1"/>
  <c r="N21" i="23" s="1"/>
  <c r="N19" i="24" s="1"/>
  <c r="I36" i="24"/>
  <c r="K44" i="24"/>
  <c r="O40" i="24"/>
  <c r="M47" i="23" a="1"/>
  <c r="M47" i="23" s="1"/>
  <c r="M44" i="23" a="1"/>
  <c r="M44" i="23" s="1"/>
  <c r="M47" i="24" s="1"/>
  <c r="I32" i="24"/>
  <c r="N21" i="24"/>
  <c r="K47" i="23" a="1"/>
  <c r="K47" i="23" s="1"/>
  <c r="K44" i="23" a="1"/>
  <c r="K44" i="23" s="1"/>
  <c r="K47" i="24" s="1"/>
  <c r="P24" i="23" a="1"/>
  <c r="P24" i="23" s="1"/>
  <c r="O24" i="23" a="1"/>
  <c r="O24" i="23" s="1"/>
  <c r="P24" i="24" s="1"/>
  <c r="P40" i="23" a="1"/>
  <c r="P40" i="23" s="1"/>
  <c r="O40" i="23" a="1"/>
  <c r="O40" i="23" s="1"/>
  <c r="P40" i="24" s="1"/>
  <c r="I24" i="24"/>
  <c r="P36" i="23" a="1"/>
  <c r="P36" i="23" s="1"/>
  <c r="O36" i="23" a="1"/>
  <c r="O36" i="23" s="1"/>
  <c r="P36" i="24" s="1"/>
  <c r="H36" i="23" a="1"/>
  <c r="H36" i="23" s="1"/>
  <c r="I36" i="23" a="1"/>
  <c r="I36" i="23" s="1"/>
  <c r="H36" i="24" s="1"/>
  <c r="N44" i="24"/>
  <c r="J19" i="23" a="1"/>
  <c r="J19" i="23" s="1"/>
  <c r="J21" i="23" a="1"/>
  <c r="J21" i="23" s="1"/>
  <c r="J19" i="24" s="1"/>
  <c r="O24" i="24"/>
  <c r="H28" i="23" a="1"/>
  <c r="H28" i="23" s="1"/>
  <c r="I28" i="23" a="1"/>
  <c r="I28" i="23" s="1"/>
  <c r="H28" i="24" s="1"/>
  <c r="L21" i="24"/>
  <c r="M44" i="24"/>
  <c r="K21" i="24"/>
  <c r="J21" i="24"/>
  <c r="O32" i="24"/>
  <c r="M21" i="24"/>
  <c r="I28" i="24"/>
  <c r="P28" i="23" a="1"/>
  <c r="P28" i="23" s="1"/>
  <c r="O28" i="23" a="1"/>
  <c r="O28" i="23" s="1"/>
  <c r="P28" i="24" s="1"/>
  <c r="L19" i="23" a="1"/>
  <c r="L19" i="23" s="1"/>
  <c r="L21" i="23" a="1"/>
  <c r="L21" i="23" s="1"/>
  <c r="L19" i="24" s="1"/>
  <c r="I40" i="24"/>
  <c r="K19" i="23" a="1"/>
  <c r="K19" i="23" s="1"/>
  <c r="K21" i="23" a="1"/>
  <c r="K21" i="23" s="1"/>
  <c r="K19" i="24" s="1"/>
  <c r="J44" i="24"/>
  <c r="P32" i="23" a="1"/>
  <c r="P32" i="23" s="1"/>
  <c r="O32" i="23" a="1"/>
  <c r="O32" i="23" s="1"/>
  <c r="P32" i="24" s="1"/>
  <c r="M19" i="23" a="1"/>
  <c r="M19" i="23" s="1"/>
  <c r="M21" i="23" a="1"/>
  <c r="M21" i="23" s="1"/>
  <c r="M19" i="24" s="1"/>
  <c r="O28" i="24"/>
  <c r="L44" i="24"/>
  <c r="H40" i="23" a="1"/>
  <c r="H40" i="23" s="1"/>
  <c r="I40" i="23" a="1"/>
  <c r="I40" i="23" s="1"/>
  <c r="H40" i="24" s="1"/>
  <c r="J47" i="23" a="1"/>
  <c r="J47" i="23" s="1"/>
  <c r="J44" i="23" a="1"/>
  <c r="J44" i="23" s="1"/>
  <c r="J47" i="24" s="1"/>
  <c r="H24" i="23" a="1"/>
  <c r="H24" i="23" s="1"/>
  <c r="I24" i="23" a="1"/>
  <c r="I24" i="23" s="1"/>
  <c r="H24" i="24" s="1"/>
  <c r="O36" i="24"/>
  <c r="E13" i="1"/>
  <c r="E14" i="1" s="1"/>
  <c r="E16" i="1" s="1"/>
  <c r="E17" i="1" s="1"/>
  <c r="D14" i="1"/>
  <c r="N44" i="25" l="1"/>
  <c r="N47" i="25" s="1" a="1"/>
  <c r="N47" i="25" s="1"/>
  <c r="I32" i="25"/>
  <c r="H32" i="25" s="1" a="1"/>
  <c r="H32" i="25" s="1"/>
  <c r="O36" i="25"/>
  <c r="P36" i="25" s="1" a="1"/>
  <c r="P36" i="25" s="1"/>
  <c r="O32" i="25"/>
  <c r="P32" i="25" s="1" a="1"/>
  <c r="P32" i="25" s="1"/>
  <c r="J21" i="25"/>
  <c r="J19" i="25" s="1" a="1"/>
  <c r="J19" i="25" s="1"/>
  <c r="M21" i="25"/>
  <c r="M19" i="25" s="1" a="1"/>
  <c r="M19" i="25" s="1"/>
  <c r="I40" i="25"/>
  <c r="H40" i="25" s="1" a="1"/>
  <c r="H40" i="25" s="1"/>
  <c r="I24" i="25"/>
  <c r="H24" i="25" s="1" a="1"/>
  <c r="H24" i="25" s="1"/>
  <c r="K21" i="25"/>
  <c r="K19" i="25" s="1" a="1"/>
  <c r="K19" i="25" s="1"/>
  <c r="L21" i="25"/>
  <c r="L19" i="25" s="1" a="1"/>
  <c r="L19" i="25" s="1"/>
  <c r="J44" i="25"/>
  <c r="J47" i="25" s="1" a="1"/>
  <c r="J47" i="25" s="1"/>
  <c r="K44" i="25"/>
  <c r="K47" i="25" s="1" a="1"/>
  <c r="K47" i="25" s="1"/>
  <c r="L44" i="25"/>
  <c r="L47" i="25" s="1" a="1"/>
  <c r="L47" i="25" s="1"/>
  <c r="O28" i="25"/>
  <c r="P28" i="25" s="1" a="1"/>
  <c r="P28" i="25" s="1"/>
  <c r="O24" i="25"/>
  <c r="P24" i="25" s="1" a="1"/>
  <c r="P24" i="25" s="1"/>
  <c r="O40" i="25"/>
  <c r="P40" i="25" s="1" a="1"/>
  <c r="P40" i="25" s="1"/>
  <c r="I28" i="25"/>
  <c r="H28" i="25" s="1" a="1"/>
  <c r="H28" i="25" s="1"/>
  <c r="N21" i="25"/>
  <c r="N19" i="25" s="1" a="1"/>
  <c r="N19" i="25" s="1"/>
  <c r="M44" i="25"/>
  <c r="M47" i="25" s="1" a="1"/>
  <c r="M47" i="25" s="1"/>
  <c r="I36" i="25"/>
  <c r="H36" i="25" s="1" a="1"/>
  <c r="H36" i="25" s="1"/>
  <c r="F13" i="1"/>
  <c r="F14" i="1" s="1"/>
  <c r="F16" i="1" s="1"/>
  <c r="F17" i="1" s="1"/>
  <c r="D16" i="1"/>
  <c r="D17" i="1" s="1"/>
  <c r="D57" i="1" s="1"/>
  <c r="D60" i="1" s="1"/>
  <c r="E64" i="1"/>
  <c r="E65" i="1" s="1"/>
  <c r="E69" i="1" s="1"/>
  <c r="E48" i="1"/>
  <c r="E51" i="1" s="1"/>
  <c r="E57" i="1"/>
  <c r="E60" i="1" s="1"/>
  <c r="G13" i="1" l="1"/>
  <c r="D64" i="1"/>
  <c r="D65" i="1" s="1"/>
  <c r="D69" i="1" s="1"/>
  <c r="D88" i="1" s="1"/>
  <c r="D95" i="1" s="1"/>
  <c r="D48" i="1"/>
  <c r="D51" i="1" s="1"/>
  <c r="E87" i="1"/>
  <c r="E94" i="1" s="1"/>
  <c r="E88" i="1"/>
  <c r="E95" i="1" s="1"/>
  <c r="F64" i="1"/>
  <c r="F65" i="1" s="1"/>
  <c r="F69" i="1" s="1"/>
  <c r="F48" i="1"/>
  <c r="F51" i="1" s="1"/>
  <c r="F57" i="1"/>
  <c r="F60" i="1" s="1"/>
  <c r="E89" i="1"/>
  <c r="E96" i="1" s="1"/>
  <c r="E86" i="1"/>
  <c r="E93" i="1" s="1"/>
  <c r="L70" i="9" l="1"/>
  <c r="K71" i="9"/>
  <c r="L71" i="9"/>
  <c r="L69" i="9"/>
  <c r="L72" i="9"/>
  <c r="G14" i="1"/>
  <c r="G16" i="1" s="1"/>
  <c r="G17" i="1" s="1"/>
  <c r="D87" i="1"/>
  <c r="D94" i="1" s="1"/>
  <c r="D86" i="1"/>
  <c r="D93" i="1" s="1"/>
  <c r="D89" i="1"/>
  <c r="D96" i="1" s="1"/>
  <c r="G88" i="1"/>
  <c r="G95" i="1" s="1"/>
  <c r="F87" i="1"/>
  <c r="F94" i="1" s="1"/>
  <c r="F88" i="1"/>
  <c r="F95" i="1" s="1"/>
  <c r="F89" i="1"/>
  <c r="F96" i="1" s="1"/>
  <c r="F86" i="1"/>
  <c r="F93" i="1" s="1"/>
  <c r="N71" i="9" l="1"/>
  <c r="M70" i="9"/>
  <c r="K72" i="9"/>
  <c r="M69" i="9"/>
  <c r="K69" i="9"/>
  <c r="K70" i="9"/>
  <c r="M72" i="9"/>
  <c r="M71" i="9"/>
  <c r="G64" i="1"/>
  <c r="G65" i="1" s="1"/>
  <c r="G69" i="1" s="1"/>
  <c r="G48" i="1"/>
  <c r="G51" i="1" s="1"/>
  <c r="G57" i="1"/>
  <c r="G60" i="1" s="1"/>
  <c r="K91" i="9" l="1"/>
  <c r="U95" i="9"/>
  <c r="F92" i="9"/>
  <c r="F90" i="9"/>
  <c r="F81" i="9"/>
  <c r="F78" i="9"/>
  <c r="F83" i="9"/>
  <c r="F80" i="9"/>
  <c r="K95" i="9"/>
  <c r="F95" i="9"/>
  <c r="F94" i="9"/>
  <c r="F89" i="9"/>
  <c r="F91" i="9"/>
  <c r="U91" i="9"/>
  <c r="F85" i="9"/>
  <c r="F99" i="9"/>
  <c r="F86" i="9"/>
  <c r="F97" i="9"/>
  <c r="F79" i="9"/>
  <c r="F100" i="9"/>
  <c r="F87" i="9"/>
  <c r="F88" i="9"/>
  <c r="F82" i="9"/>
  <c r="F96" i="9"/>
  <c r="F98" i="9"/>
  <c r="F93" i="9"/>
  <c r="F84" i="9"/>
  <c r="G89" i="1"/>
  <c r="G96" i="1" s="1"/>
  <c r="G86" i="1"/>
  <c r="G93" i="1" s="1"/>
  <c r="G87" i="1"/>
  <c r="G94" i="1" s="1"/>
  <c r="F102" i="9" l="1"/>
  <c r="G24" i="9" s="1"/>
  <c r="N70" i="9"/>
  <c r="U88" i="9" s="1"/>
  <c r="N69" i="9"/>
  <c r="U80" i="9" s="1"/>
  <c r="N72" i="9"/>
  <c r="P100" i="9" s="1"/>
  <c r="K86" i="9"/>
  <c r="U83" i="9"/>
  <c r="K79" i="9"/>
  <c r="U82" i="9" l="1"/>
  <c r="K80" i="9"/>
  <c r="K83" i="9"/>
  <c r="K89" i="9"/>
  <c r="K78" i="9"/>
  <c r="U86" i="9"/>
  <c r="P95" i="9"/>
  <c r="U89" i="9"/>
  <c r="K82" i="9"/>
  <c r="U100" i="9"/>
  <c r="U92" i="9"/>
  <c r="K90" i="9"/>
  <c r="P90" i="9"/>
  <c r="U90" i="9"/>
  <c r="P78" i="9"/>
  <c r="U94" i="9"/>
  <c r="K87" i="9"/>
  <c r="P80" i="9"/>
  <c r="K99" i="9"/>
  <c r="K92" i="9"/>
  <c r="U96" i="9"/>
  <c r="U97" i="9"/>
  <c r="K97" i="9"/>
  <c r="K85" i="9"/>
  <c r="U93" i="9"/>
  <c r="U87" i="9"/>
  <c r="U85" i="9"/>
  <c r="K98" i="9"/>
  <c r="K94" i="9"/>
  <c r="K96" i="9"/>
  <c r="U84" i="9"/>
  <c r="U81" i="9"/>
  <c r="K84" i="9"/>
  <c r="K100" i="9"/>
  <c r="K81" i="9"/>
  <c r="U98" i="9"/>
  <c r="K88" i="9"/>
  <c r="H36" i="9"/>
  <c r="I68" i="17" s="1"/>
  <c r="I40" i="17" s="1" a="1"/>
  <c r="I40" i="17" s="1"/>
  <c r="H28" i="9"/>
  <c r="I66" i="17" s="1"/>
  <c r="G28" i="17"/>
  <c r="G28" i="26"/>
  <c r="G28" i="21"/>
  <c r="P93" i="9"/>
  <c r="G20" i="9"/>
  <c r="G28" i="9"/>
  <c r="G32" i="9"/>
  <c r="H24" i="9"/>
  <c r="G36" i="9"/>
  <c r="H20" i="9"/>
  <c r="H32" i="9"/>
  <c r="P84" i="9"/>
  <c r="P85" i="9"/>
  <c r="P83" i="9"/>
  <c r="P89" i="9"/>
  <c r="P98" i="9"/>
  <c r="P91" i="9"/>
  <c r="P81" i="9"/>
  <c r="P99" i="9"/>
  <c r="P79" i="9"/>
  <c r="P94" i="9"/>
  <c r="P82" i="9"/>
  <c r="P87" i="9"/>
  <c r="P86" i="9"/>
  <c r="P92" i="9"/>
  <c r="P97" i="9"/>
  <c r="U79" i="9"/>
  <c r="U78" i="9"/>
  <c r="U99" i="9"/>
  <c r="K93" i="9"/>
  <c r="P96" i="9"/>
  <c r="P88" i="9"/>
  <c r="K102" i="9" l="1"/>
  <c r="N15" i="9" s="1"/>
  <c r="I66" i="21"/>
  <c r="I32" i="21" s="1"/>
  <c r="I68" i="21"/>
  <c r="I40" i="21" s="1"/>
  <c r="I40" i="26" s="1"/>
  <c r="H40" i="26" s="1" a="1"/>
  <c r="H40" i="26" s="1"/>
  <c r="I68" i="26"/>
  <c r="I66" i="26"/>
  <c r="H32" i="17" a="1"/>
  <c r="H32" i="17" s="1"/>
  <c r="I32" i="17" a="1"/>
  <c r="I32" i="17" s="1"/>
  <c r="H40" i="17" a="1"/>
  <c r="H40" i="17" s="1"/>
  <c r="G32" i="17"/>
  <c r="G32" i="26"/>
  <c r="G32" i="21"/>
  <c r="G24" i="17"/>
  <c r="G24" i="26"/>
  <c r="G24" i="21"/>
  <c r="I67" i="17"/>
  <c r="I36" i="17" s="1" a="1"/>
  <c r="I36" i="17" s="1"/>
  <c r="I67" i="26"/>
  <c r="I67" i="21"/>
  <c r="I36" i="21" s="1"/>
  <c r="I64" i="17"/>
  <c r="H24" i="17" s="1" a="1"/>
  <c r="H24" i="17" s="1"/>
  <c r="I64" i="26"/>
  <c r="I64" i="21"/>
  <c r="I24" i="21" s="1"/>
  <c r="G40" i="17"/>
  <c r="G40" i="26"/>
  <c r="G40" i="21"/>
  <c r="I65" i="17"/>
  <c r="I28" i="17" s="1" a="1"/>
  <c r="I28" i="17" s="1"/>
  <c r="I65" i="26"/>
  <c r="I65" i="21"/>
  <c r="I28" i="21" s="1"/>
  <c r="H40" i="21"/>
  <c r="G36" i="17"/>
  <c r="G36" i="26"/>
  <c r="G36" i="21"/>
  <c r="P102" i="9"/>
  <c r="Q20" i="9" s="1"/>
  <c r="U102" i="9"/>
  <c r="L45" i="9" s="1"/>
  <c r="M11" i="9" l="1"/>
  <c r="M15" i="17" s="1"/>
  <c r="J11" i="9"/>
  <c r="J15" i="17" s="1"/>
  <c r="K11" i="9"/>
  <c r="K15" i="17" s="1"/>
  <c r="K15" i="9"/>
  <c r="K63" i="17" s="1"/>
  <c r="K19" i="17" s="1" a="1"/>
  <c r="K19" i="17" s="1"/>
  <c r="L15" i="9"/>
  <c r="L63" i="17" s="1"/>
  <c r="L19" i="17" s="1" a="1"/>
  <c r="L19" i="17" s="1"/>
  <c r="M15" i="9"/>
  <c r="M63" i="17" s="1"/>
  <c r="M21" i="17" s="1" a="1"/>
  <c r="M21" i="17" s="1"/>
  <c r="N11" i="9"/>
  <c r="N15" i="26" s="1"/>
  <c r="J15" i="9"/>
  <c r="J63" i="17" s="1"/>
  <c r="J19" i="17" s="1" a="1"/>
  <c r="J19" i="17" s="1"/>
  <c r="L11" i="9"/>
  <c r="L15" i="17" s="1"/>
  <c r="H32" i="21"/>
  <c r="H28" i="17" a="1"/>
  <c r="H28" i="17" s="1"/>
  <c r="I32" i="26"/>
  <c r="H32" i="26" s="1" a="1"/>
  <c r="H32" i="26" s="1"/>
  <c r="H36" i="17" a="1"/>
  <c r="H36" i="17" s="1"/>
  <c r="I24" i="17" a="1"/>
  <c r="I24" i="17" s="1"/>
  <c r="I24" i="26" s="1"/>
  <c r="H24" i="26" s="1" a="1"/>
  <c r="H24" i="26" s="1"/>
  <c r="H28" i="21"/>
  <c r="I28" i="26"/>
  <c r="H28" i="26" s="1" a="1"/>
  <c r="H28" i="26" s="1"/>
  <c r="Q24" i="17"/>
  <c r="Q24" i="26"/>
  <c r="Q24" i="21"/>
  <c r="N63" i="17"/>
  <c r="N21" i="17" s="1" a="1"/>
  <c r="N21" i="17" s="1"/>
  <c r="N63" i="26"/>
  <c r="N63" i="21"/>
  <c r="N21" i="21" s="1"/>
  <c r="H36" i="21"/>
  <c r="I36" i="26"/>
  <c r="H36" i="26" s="1" a="1"/>
  <c r="H36" i="26" s="1"/>
  <c r="L49" i="17"/>
  <c r="L49" i="26"/>
  <c r="L49" i="21"/>
  <c r="N45" i="9"/>
  <c r="Q24" i="9"/>
  <c r="O32" i="9"/>
  <c r="L40" i="9"/>
  <c r="J40" i="9"/>
  <c r="K45" i="9"/>
  <c r="Q36" i="9"/>
  <c r="Q32" i="9"/>
  <c r="J45" i="9"/>
  <c r="O20" i="9"/>
  <c r="M45" i="9"/>
  <c r="O28" i="9"/>
  <c r="K40" i="9"/>
  <c r="O24" i="9"/>
  <c r="N40" i="9"/>
  <c r="M40" i="9"/>
  <c r="Q28" i="9"/>
  <c r="O36" i="9"/>
  <c r="J15" i="21" l="1"/>
  <c r="N15" i="17"/>
  <c r="M63" i="21"/>
  <c r="M21" i="21" s="1"/>
  <c r="K63" i="26"/>
  <c r="J15" i="26"/>
  <c r="M15" i="21"/>
  <c r="M15" i="26"/>
  <c r="L15" i="21"/>
  <c r="L63" i="26"/>
  <c r="M63" i="26"/>
  <c r="K15" i="21"/>
  <c r="K15" i="26"/>
  <c r="N15" i="21"/>
  <c r="L15" i="26"/>
  <c r="H24" i="21"/>
  <c r="K63" i="21"/>
  <c r="K21" i="21" s="1"/>
  <c r="J63" i="21"/>
  <c r="J21" i="21" s="1"/>
  <c r="L63" i="21"/>
  <c r="L21" i="21" s="1"/>
  <c r="J63" i="26"/>
  <c r="J21" i="17" a="1"/>
  <c r="J21" i="17" s="1"/>
  <c r="K21" i="17" a="1"/>
  <c r="K21" i="17" s="1"/>
  <c r="L21" i="17" a="1"/>
  <c r="L21" i="17" s="1"/>
  <c r="M19" i="17" a="1"/>
  <c r="M19" i="17" s="1"/>
  <c r="N19" i="21"/>
  <c r="N21" i="26"/>
  <c r="N19" i="26" s="1" a="1"/>
  <c r="N19" i="26" s="1"/>
  <c r="M49" i="17"/>
  <c r="M49" i="26"/>
  <c r="M49" i="21"/>
  <c r="O67" i="17"/>
  <c r="P36" i="17" s="1" a="1"/>
  <c r="P36" i="17" s="1"/>
  <c r="O67" i="26"/>
  <c r="O67" i="21"/>
  <c r="O36" i="21" s="1"/>
  <c r="O68" i="17"/>
  <c r="P40" i="17" s="1" a="1"/>
  <c r="P40" i="17" s="1"/>
  <c r="O68" i="26"/>
  <c r="O68" i="21"/>
  <c r="O40" i="21" s="1"/>
  <c r="Q28" i="17"/>
  <c r="Q28" i="26"/>
  <c r="Q28" i="21"/>
  <c r="J49" i="17"/>
  <c r="J49" i="26"/>
  <c r="J49" i="21"/>
  <c r="L69" i="17"/>
  <c r="L47" i="17" s="1" a="1"/>
  <c r="L47" i="17" s="1"/>
  <c r="L69" i="26"/>
  <c r="L69" i="21"/>
  <c r="L44" i="21" s="1"/>
  <c r="Q32" i="17"/>
  <c r="Q32" i="26"/>
  <c r="Q32" i="21"/>
  <c r="Q36" i="17"/>
  <c r="Q36" i="26"/>
  <c r="Q36" i="21"/>
  <c r="N19" i="17" a="1"/>
  <c r="N19" i="17" s="1"/>
  <c r="K69" i="17"/>
  <c r="K44" i="17" s="1" a="1"/>
  <c r="K44" i="17" s="1"/>
  <c r="K69" i="26"/>
  <c r="K69" i="21"/>
  <c r="K44" i="21" s="1"/>
  <c r="O64" i="17"/>
  <c r="O24" i="17" s="1" a="1"/>
  <c r="O24" i="17" s="1"/>
  <c r="O64" i="26"/>
  <c r="O64" i="21"/>
  <c r="O24" i="21" s="1"/>
  <c r="M69" i="17"/>
  <c r="M47" i="17" s="1" a="1"/>
  <c r="M47" i="17" s="1"/>
  <c r="M69" i="26"/>
  <c r="M69" i="21"/>
  <c r="M44" i="21" s="1"/>
  <c r="N69" i="17"/>
  <c r="N44" i="17" s="1" a="1"/>
  <c r="N44" i="17" s="1"/>
  <c r="N69" i="26"/>
  <c r="N69" i="21"/>
  <c r="N44" i="21" s="1"/>
  <c r="M19" i="21"/>
  <c r="M21" i="26"/>
  <c r="M19" i="26" s="1" a="1"/>
  <c r="M19" i="26" s="1"/>
  <c r="O66" i="17"/>
  <c r="P32" i="17" s="1" a="1"/>
  <c r="P32" i="17" s="1"/>
  <c r="O66" i="26"/>
  <c r="O66" i="21"/>
  <c r="O32" i="21" s="1"/>
  <c r="N49" i="17"/>
  <c r="N49" i="26"/>
  <c r="N49" i="21"/>
  <c r="Q40" i="17"/>
  <c r="Q40" i="26"/>
  <c r="Q40" i="21"/>
  <c r="O65" i="17"/>
  <c r="O28" i="17" s="1" a="1"/>
  <c r="O28" i="17" s="1"/>
  <c r="O65" i="26"/>
  <c r="O65" i="21"/>
  <c r="O28" i="21" s="1"/>
  <c r="K49" i="17"/>
  <c r="K49" i="26"/>
  <c r="K49" i="21"/>
  <c r="J69" i="17"/>
  <c r="J44" i="17" s="1" a="1"/>
  <c r="J44" i="17" s="1"/>
  <c r="J69" i="26"/>
  <c r="J69" i="21"/>
  <c r="J44" i="21" s="1"/>
  <c r="K19" i="21" l="1"/>
  <c r="J19" i="21"/>
  <c r="L19" i="21"/>
  <c r="N47" i="17" a="1"/>
  <c r="N47" i="17" s="1"/>
  <c r="P24" i="17" a="1"/>
  <c r="P24" i="17" s="1"/>
  <c r="O40" i="17" a="1"/>
  <c r="O40" i="17" s="1"/>
  <c r="P40" i="21" s="1"/>
  <c r="K21" i="26"/>
  <c r="K19" i="26" s="1" a="1"/>
  <c r="K19" i="26" s="1"/>
  <c r="J47" i="17" a="1"/>
  <c r="J47" i="17" s="1"/>
  <c r="J21" i="26"/>
  <c r="J19" i="26" s="1" a="1"/>
  <c r="J19" i="26" s="1"/>
  <c r="L21" i="26"/>
  <c r="L19" i="26" s="1" a="1"/>
  <c r="L19" i="26" s="1"/>
  <c r="M44" i="17" a="1"/>
  <c r="M44" i="17" s="1"/>
  <c r="M44" i="26" s="1"/>
  <c r="M47" i="26" s="1" a="1"/>
  <c r="M47" i="26" s="1"/>
  <c r="N44" i="26"/>
  <c r="N47" i="26" s="1" a="1"/>
  <c r="N47" i="26" s="1"/>
  <c r="L44" i="17" a="1"/>
  <c r="L44" i="17" s="1"/>
  <c r="L47" i="21" s="1"/>
  <c r="O36" i="17" a="1"/>
  <c r="O36" i="17" s="1"/>
  <c r="P36" i="21" s="1"/>
  <c r="O32" i="17" a="1"/>
  <c r="O32" i="17" s="1"/>
  <c r="O32" i="26" s="1"/>
  <c r="P32" i="26" s="1" a="1"/>
  <c r="P32" i="26" s="1"/>
  <c r="O28" i="26"/>
  <c r="P28" i="26" s="1" a="1"/>
  <c r="P28" i="26" s="1"/>
  <c r="P28" i="21"/>
  <c r="P28" i="17" a="1"/>
  <c r="P28" i="17" s="1"/>
  <c r="K47" i="21"/>
  <c r="K44" i="26"/>
  <c r="K47" i="26" s="1" a="1"/>
  <c r="K47" i="26" s="1"/>
  <c r="J47" i="21"/>
  <c r="J44" i="26"/>
  <c r="J47" i="26" s="1" a="1"/>
  <c r="J47" i="26" s="1"/>
  <c r="K47" i="17" a="1"/>
  <c r="K47" i="17" s="1"/>
  <c r="N47" i="21"/>
  <c r="P24" i="21"/>
  <c r="O24" i="26"/>
  <c r="P24" i="26" s="1" a="1"/>
  <c r="P24" i="26" s="1"/>
  <c r="O40" i="26" l="1"/>
  <c r="P40" i="26" s="1" a="1"/>
  <c r="P40" i="26" s="1"/>
  <c r="M47" i="21"/>
  <c r="O36" i="26"/>
  <c r="P36" i="26" s="1" a="1"/>
  <c r="P36" i="26" s="1"/>
  <c r="L44" i="26"/>
  <c r="L47" i="26" s="1" a="1"/>
  <c r="L47" i="26" s="1"/>
  <c r="P3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C8" authorId="0" shapeId="0" xr:uid="{00000000-0006-0000-0200-000001000000}">
      <text>
        <r>
          <rPr>
            <b/>
            <sz val="9"/>
            <color indexed="81"/>
            <rFont val="Tahoma"/>
            <charset val="1"/>
          </rPr>
          <t>Autor:</t>
        </r>
        <r>
          <rPr>
            <sz val="9"/>
            <color indexed="81"/>
            <rFont val="Tahoma"/>
            <charset val="1"/>
          </rPr>
          <t xml:space="preserve">
Przyjmij długość płyty z materiału termoizolacyjnego</t>
        </r>
      </text>
    </comment>
    <comment ref="C9" authorId="0" shapeId="0" xr:uid="{00000000-0006-0000-0200-000002000000}">
      <text>
        <r>
          <rPr>
            <b/>
            <sz val="9"/>
            <color indexed="81"/>
            <rFont val="Tahoma"/>
            <charset val="1"/>
          </rPr>
          <t>Autor:</t>
        </r>
        <r>
          <rPr>
            <sz val="9"/>
            <color indexed="81"/>
            <rFont val="Tahoma"/>
            <charset val="1"/>
          </rPr>
          <t xml:space="preserve">
Przyjmij szerokość płyty z materiału termoizolacyjnego</t>
        </r>
      </text>
    </comment>
    <comment ref="T11" authorId="0" shapeId="0" xr:uid="{00000000-0006-0000-0200-000003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polu płyty</t>
        </r>
      </text>
    </comment>
    <comment ref="T12" authorId="0" shapeId="0" xr:uid="{00000000-0006-0000-0200-000004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spoinach</t>
        </r>
      </text>
    </comment>
    <comment ref="C18" authorId="0" shapeId="0" xr:uid="{00000000-0006-0000-0200-000005000000}">
      <text>
        <r>
          <rPr>
            <b/>
            <sz val="9"/>
            <color indexed="81"/>
            <rFont val="Tahoma"/>
            <charset val="1"/>
          </rPr>
          <t>Autor:</t>
        </r>
        <r>
          <rPr>
            <sz val="9"/>
            <color indexed="81"/>
            <rFont val="Tahoma"/>
            <charset val="1"/>
          </rPr>
          <t xml:space="preserve">
Przyjmij nośność charakterystyczną łącznika w zależności od jego producenta i typu oraz rodzaju podłoża</t>
        </r>
      </text>
    </comment>
    <comment ref="C19" authorId="0" shapeId="0" xr:uid="{00000000-0006-0000-0200-000006000000}">
      <text>
        <r>
          <rPr>
            <b/>
            <sz val="9"/>
            <color indexed="81"/>
            <rFont val="Tahoma"/>
            <charset val="1"/>
          </rPr>
          <t>Autor:</t>
        </r>
        <r>
          <rPr>
            <sz val="9"/>
            <color indexed="81"/>
            <rFont val="Tahoma"/>
            <charset val="1"/>
          </rPr>
          <t xml:space="preserve">
W razie potrzeby, przyjmij inną wartość współczynnika częściowego
</t>
        </r>
      </text>
    </comment>
    <comment ref="C23" authorId="0" shapeId="0" xr:uid="{00000000-0006-0000-0200-000007000000}">
      <text>
        <r>
          <rPr>
            <b/>
            <sz val="9"/>
            <color indexed="81"/>
            <rFont val="Tahoma"/>
            <family val="2"/>
            <charset val="238"/>
          </rPr>
          <t>Autor:</t>
        </r>
        <r>
          <rPr>
            <sz val="9"/>
            <color indexed="81"/>
            <rFont val="Tahoma"/>
            <family val="2"/>
            <charset val="238"/>
          </rPr>
          <t xml:space="preserve">
Przyjmij nośność charakterystyczną systemu w zależności od jego producenta, rodzaju, grbości i wytrzymałości materiału termoizolacyjnego, sposobu montażu łączników umieszczanych w polu płyty</t>
        </r>
      </text>
    </comment>
    <comment ref="C24" authorId="0" shapeId="0" xr:uid="{00000000-0006-0000-0200-000008000000}">
      <text>
        <r>
          <rPr>
            <b/>
            <sz val="9"/>
            <color indexed="81"/>
            <rFont val="Tahoma"/>
            <charset val="1"/>
          </rPr>
          <t>Autor:</t>
        </r>
        <r>
          <rPr>
            <sz val="9"/>
            <color indexed="81"/>
            <rFont val="Tahoma"/>
            <charset val="1"/>
          </rPr>
          <t xml:space="preserve">
Przyjmij nośność charakterystyczną systemu w zależności od jego producenta, rodzaju, grbości i wytrzymałości materiału termoizolacyjnego, sposobu montażu łączników umieszczanych w stykach płyt (spoinach)</t>
        </r>
      </text>
    </comment>
    <comment ref="C25" authorId="0" shapeId="0" xr:uid="{00000000-0006-0000-0200-000009000000}">
      <text>
        <r>
          <rPr>
            <b/>
            <sz val="9"/>
            <color indexed="81"/>
            <rFont val="Tahoma"/>
            <charset val="1"/>
          </rPr>
          <t>Autor:</t>
        </r>
        <r>
          <rPr>
            <sz val="9"/>
            <color indexed="81"/>
            <rFont val="Tahoma"/>
            <charset val="1"/>
          </rPr>
          <t xml:space="preserve">
Przyjmij wartość współczynnika częściowego w zależności od materiału termoizolacji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N51" authorId="0" shapeId="0" xr:uid="{00000000-0006-0000-1300-000001000000}">
      <text>
        <r>
          <rPr>
            <b/>
            <sz val="9"/>
            <color indexed="81"/>
            <rFont val="Tahoma"/>
            <family val="2"/>
            <charset val="238"/>
          </rPr>
          <t>Autor:</t>
        </r>
        <r>
          <rPr>
            <sz val="9"/>
            <color indexed="81"/>
            <rFont val="Tahoma"/>
            <family val="2"/>
            <charset val="238"/>
          </rPr>
          <t xml:space="preserve">
Wstaw odpowiednią wartość</t>
        </r>
      </text>
    </comment>
    <comment ref="N52" authorId="0" shapeId="0" xr:uid="{00000000-0006-0000-1300-000002000000}">
      <text>
        <r>
          <rPr>
            <b/>
            <sz val="9"/>
            <color indexed="81"/>
            <rFont val="Tahoma"/>
            <family val="2"/>
            <charset val="238"/>
          </rPr>
          <t>Autor:</t>
        </r>
        <r>
          <rPr>
            <sz val="9"/>
            <color indexed="81"/>
            <rFont val="Tahoma"/>
            <family val="2"/>
            <charset val="238"/>
          </rPr>
          <t xml:space="preserve">
Wstaw odpowiednią wartośc</t>
        </r>
      </text>
    </comment>
    <comment ref="N53" authorId="0" shapeId="0" xr:uid="{00000000-0006-0000-1300-000003000000}">
      <text>
        <r>
          <rPr>
            <b/>
            <sz val="9"/>
            <color indexed="81"/>
            <rFont val="Tahoma"/>
            <family val="2"/>
            <charset val="238"/>
          </rPr>
          <t>Autor:</t>
        </r>
        <r>
          <rPr>
            <sz val="9"/>
            <color indexed="81"/>
            <rFont val="Tahoma"/>
            <family val="2"/>
            <charset val="238"/>
          </rPr>
          <t xml:space="preserve">
Wstaw odpowiednią wartość</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C8" authorId="0" shapeId="0" xr:uid="{00000000-0006-0000-0300-000001000000}">
      <text>
        <r>
          <rPr>
            <b/>
            <sz val="9"/>
            <color indexed="81"/>
            <rFont val="Tahoma"/>
            <charset val="1"/>
          </rPr>
          <t>Autor:</t>
        </r>
        <r>
          <rPr>
            <sz val="9"/>
            <color indexed="81"/>
            <rFont val="Tahoma"/>
            <charset val="1"/>
          </rPr>
          <t xml:space="preserve">
Przyjmij długość płyty z materiału termoizolacyjnego</t>
        </r>
      </text>
    </comment>
    <comment ref="C9" authorId="0" shapeId="0" xr:uid="{00000000-0006-0000-0300-000002000000}">
      <text>
        <r>
          <rPr>
            <b/>
            <sz val="9"/>
            <color indexed="81"/>
            <rFont val="Tahoma"/>
            <charset val="1"/>
          </rPr>
          <t>Autor:</t>
        </r>
        <r>
          <rPr>
            <sz val="9"/>
            <color indexed="81"/>
            <rFont val="Tahoma"/>
            <charset val="1"/>
          </rPr>
          <t xml:space="preserve">
Przyjmij szerokość płyty z materiału termoizolacyjnego</t>
        </r>
      </text>
    </comment>
    <comment ref="Q11" authorId="0" shapeId="0" xr:uid="{00000000-0006-0000-0300-000003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polu płyty</t>
        </r>
      </text>
    </comment>
    <comment ref="Q12" authorId="0" shapeId="0" xr:uid="{00000000-0006-0000-0300-000004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spoinach</t>
        </r>
      </text>
    </comment>
    <comment ref="C18" authorId="0" shapeId="0" xr:uid="{00000000-0006-0000-0300-000005000000}">
      <text>
        <r>
          <rPr>
            <b/>
            <sz val="9"/>
            <color indexed="81"/>
            <rFont val="Tahoma"/>
            <charset val="1"/>
          </rPr>
          <t>Autor:</t>
        </r>
        <r>
          <rPr>
            <sz val="9"/>
            <color indexed="81"/>
            <rFont val="Tahoma"/>
            <charset val="1"/>
          </rPr>
          <t xml:space="preserve">
Przyjmij nośność charakterystyczną łącznika w zależności od jego producenta i typu oraz rodzaju podłoża</t>
        </r>
      </text>
    </comment>
    <comment ref="C19" authorId="0" shapeId="0" xr:uid="{00000000-0006-0000-0300-000006000000}">
      <text>
        <r>
          <rPr>
            <b/>
            <sz val="9"/>
            <color indexed="81"/>
            <rFont val="Tahoma"/>
            <charset val="1"/>
          </rPr>
          <t>Autor:</t>
        </r>
        <r>
          <rPr>
            <sz val="9"/>
            <color indexed="81"/>
            <rFont val="Tahoma"/>
            <charset val="1"/>
          </rPr>
          <t xml:space="preserve">
W razie potrzeby, przyjmij inną wartość współczynnika częściowego
</t>
        </r>
      </text>
    </comment>
    <comment ref="C23" authorId="0" shapeId="0" xr:uid="{00000000-0006-0000-0300-000007000000}">
      <text>
        <r>
          <rPr>
            <b/>
            <sz val="9"/>
            <color indexed="81"/>
            <rFont val="Tahoma"/>
            <family val="2"/>
            <charset val="238"/>
          </rPr>
          <t>Autor:</t>
        </r>
        <r>
          <rPr>
            <sz val="9"/>
            <color indexed="81"/>
            <rFont val="Tahoma"/>
            <family val="2"/>
            <charset val="238"/>
          </rPr>
          <t xml:space="preserve">
Przyjmij nośność charakterystyczną systemu w zależności od jego producenta, rodzaju, grbości i wytrzymałości materiału termoizolacyjnego, sposobu montażu łączników umieszczanych w polu płyty</t>
        </r>
      </text>
    </comment>
    <comment ref="C24" authorId="0" shapeId="0" xr:uid="{00000000-0006-0000-0300-000008000000}">
      <text>
        <r>
          <rPr>
            <b/>
            <sz val="9"/>
            <color indexed="81"/>
            <rFont val="Tahoma"/>
            <charset val="1"/>
          </rPr>
          <t>Autor:</t>
        </r>
        <r>
          <rPr>
            <sz val="9"/>
            <color indexed="81"/>
            <rFont val="Tahoma"/>
            <charset val="1"/>
          </rPr>
          <t xml:space="preserve">
Przyjmij nośność charakterystyczną systemu w zależności od jego producenta, rodzaju, grbości i wytrzymałości materiału termoizolacyjnego, sposobu montażu łączników umieszczanych przy obrzeżach płyty albo w polu płyty (jeśli odległość od obrzeży jest dostatecznie duża)</t>
        </r>
      </text>
    </comment>
    <comment ref="C25" authorId="0" shapeId="0" xr:uid="{00000000-0006-0000-0300-000009000000}">
      <text>
        <r>
          <rPr>
            <b/>
            <sz val="9"/>
            <color indexed="81"/>
            <rFont val="Tahoma"/>
            <charset val="1"/>
          </rPr>
          <t>Autor:</t>
        </r>
        <r>
          <rPr>
            <sz val="9"/>
            <color indexed="81"/>
            <rFont val="Tahoma"/>
            <charset val="1"/>
          </rPr>
          <t xml:space="preserve">
Przyjmij wartość współczynnika częściowego w zależności od materiału termoizolacji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C8" authorId="0" shapeId="0" xr:uid="{00000000-0006-0000-0400-000001000000}">
      <text>
        <r>
          <rPr>
            <b/>
            <sz val="9"/>
            <color indexed="81"/>
            <rFont val="Tahoma"/>
            <charset val="1"/>
          </rPr>
          <t>Autor:</t>
        </r>
        <r>
          <rPr>
            <sz val="9"/>
            <color indexed="81"/>
            <rFont val="Tahoma"/>
            <charset val="1"/>
          </rPr>
          <t xml:space="preserve">
Przyjmij długość płyty z materiału termoizolacyjnego</t>
        </r>
      </text>
    </comment>
    <comment ref="C9" authorId="0" shapeId="0" xr:uid="{00000000-0006-0000-0400-000002000000}">
      <text>
        <r>
          <rPr>
            <b/>
            <sz val="9"/>
            <color indexed="81"/>
            <rFont val="Tahoma"/>
            <charset val="1"/>
          </rPr>
          <t>Autor:</t>
        </r>
        <r>
          <rPr>
            <sz val="9"/>
            <color indexed="81"/>
            <rFont val="Tahoma"/>
            <charset val="1"/>
          </rPr>
          <t xml:space="preserve">
Przyjmij szerokość płyty z materiału termoizolacyjnego</t>
        </r>
      </text>
    </comment>
    <comment ref="W12" authorId="0" shapeId="0" xr:uid="{00000000-0006-0000-0400-000003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polu płyty</t>
        </r>
      </text>
    </comment>
    <comment ref="W13" authorId="0" shapeId="0" xr:uid="{00000000-0006-0000-0400-000004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spoinach</t>
        </r>
      </text>
    </comment>
    <comment ref="W16" authorId="0" shapeId="0" xr:uid="{00000000-0006-0000-0400-000005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polu płyty</t>
        </r>
      </text>
    </comment>
    <comment ref="W17" authorId="0" shapeId="0" xr:uid="{00000000-0006-0000-0400-000006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spoinach</t>
        </r>
      </text>
    </comment>
    <comment ref="W20" authorId="0" shapeId="0" xr:uid="{00000000-0006-0000-0400-000007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polu płyty</t>
        </r>
      </text>
    </comment>
    <comment ref="W21" authorId="0" shapeId="0" xr:uid="{00000000-0006-0000-0400-000008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spoinach</t>
        </r>
      </text>
    </comment>
    <comment ref="W24" authorId="0" shapeId="0" xr:uid="{00000000-0006-0000-0400-000009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polu płyty</t>
        </r>
      </text>
    </comment>
    <comment ref="W25" authorId="0" shapeId="0" xr:uid="{00000000-0006-0000-0400-00000A000000}">
      <text>
        <r>
          <rPr>
            <b/>
            <sz val="9"/>
            <color indexed="81"/>
            <rFont val="Tahoma"/>
            <family val="2"/>
            <charset val="238"/>
          </rPr>
          <t>Autor:</t>
        </r>
        <r>
          <rPr>
            <sz val="9"/>
            <color indexed="81"/>
            <rFont val="Tahoma"/>
            <family val="2"/>
            <charset val="238"/>
          </rPr>
          <t xml:space="preserve">
Przyjmij z listy rozwijanej liczbę łączników na jedną płytę umieszczonych w spoinach</t>
        </r>
      </text>
    </comment>
    <comment ref="C32" authorId="0" shapeId="0" xr:uid="{00000000-0006-0000-0400-00000B000000}">
      <text>
        <r>
          <rPr>
            <b/>
            <sz val="9"/>
            <color indexed="81"/>
            <rFont val="Tahoma"/>
            <charset val="1"/>
          </rPr>
          <t>Autor:</t>
        </r>
        <r>
          <rPr>
            <sz val="9"/>
            <color indexed="81"/>
            <rFont val="Tahoma"/>
            <charset val="1"/>
          </rPr>
          <t xml:space="preserve">
Przyjmij nośność charakterystyczną łącznika w zależności od jego producenta i typu oraz rodzaju podłoża</t>
        </r>
      </text>
    </comment>
    <comment ref="C33" authorId="0" shapeId="0" xr:uid="{00000000-0006-0000-0400-00000C000000}">
      <text>
        <r>
          <rPr>
            <b/>
            <sz val="9"/>
            <color indexed="81"/>
            <rFont val="Tahoma"/>
            <charset val="1"/>
          </rPr>
          <t>Autor:</t>
        </r>
        <r>
          <rPr>
            <sz val="9"/>
            <color indexed="81"/>
            <rFont val="Tahoma"/>
            <charset val="1"/>
          </rPr>
          <t xml:space="preserve">
W razie potrzeby, przyjmij inną wartość współczynnika częściowego
</t>
        </r>
      </text>
    </comment>
    <comment ref="C37" authorId="0" shapeId="0" xr:uid="{00000000-0006-0000-0400-00000D000000}">
      <text>
        <r>
          <rPr>
            <b/>
            <sz val="9"/>
            <color indexed="81"/>
            <rFont val="Tahoma"/>
            <family val="2"/>
            <charset val="238"/>
          </rPr>
          <t>Autor:</t>
        </r>
        <r>
          <rPr>
            <sz val="9"/>
            <color indexed="81"/>
            <rFont val="Tahoma"/>
            <family val="2"/>
            <charset val="238"/>
          </rPr>
          <t xml:space="preserve">
Przyjmij nośność charakterystyczną systemu w zależności od jego producenta, rodzaju, grbości i wytrzymałości materiału termoizolacyjnego, sposobu montażu łączników umieszczanych w polu płyty albo przy obrzeżach (jeśli odległość od nich jest mała)</t>
        </r>
      </text>
    </comment>
    <comment ref="C38" authorId="0" shapeId="0" xr:uid="{00000000-0006-0000-0400-00000E000000}">
      <text>
        <r>
          <rPr>
            <b/>
            <sz val="9"/>
            <color indexed="81"/>
            <rFont val="Tahoma"/>
            <charset val="1"/>
          </rPr>
          <t>Autor:</t>
        </r>
        <r>
          <rPr>
            <sz val="9"/>
            <color indexed="81"/>
            <rFont val="Tahoma"/>
            <charset val="1"/>
          </rPr>
          <t xml:space="preserve">
Przyjmij nośność charakterystyczną systemu w zależności od jego producenta, rodzaju, grbości i wytrzymałości materiału termoizolacyjnego, sposobu montażu łączników umieszczanych w stykach płyt (spoinach)</t>
        </r>
      </text>
    </comment>
    <comment ref="C39" authorId="0" shapeId="0" xr:uid="{00000000-0006-0000-0400-00000F000000}">
      <text>
        <r>
          <rPr>
            <b/>
            <sz val="9"/>
            <color indexed="81"/>
            <rFont val="Tahoma"/>
            <charset val="1"/>
          </rPr>
          <t>Autor:</t>
        </r>
        <r>
          <rPr>
            <sz val="9"/>
            <color indexed="81"/>
            <rFont val="Tahoma"/>
            <charset val="1"/>
          </rPr>
          <t xml:space="preserve">
Przyjmij wartość współczynnika częściowego w zależności od materiału termoizolacji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C7" authorId="0" shapeId="0" xr:uid="{00000000-0006-0000-0500-000001000000}">
      <text>
        <r>
          <rPr>
            <b/>
            <sz val="9"/>
            <color indexed="81"/>
            <rFont val="Tahoma"/>
            <charset val="1"/>
          </rPr>
          <t>Autor:</t>
        </r>
        <r>
          <rPr>
            <sz val="9"/>
            <color indexed="81"/>
            <rFont val="Tahoma"/>
            <charset val="1"/>
          </rPr>
          <t xml:space="preserve">
Wybierz z listy rozwijanej strefę obciążenia wiatrem w Polsce, właściwą lokalizacji rozpatrywanego budynku</t>
        </r>
      </text>
    </comment>
    <comment ref="C8" authorId="0" shapeId="0" xr:uid="{00000000-0006-0000-0500-000002000000}">
      <text>
        <r>
          <rPr>
            <b/>
            <sz val="9"/>
            <color indexed="81"/>
            <rFont val="Tahoma"/>
            <charset val="1"/>
          </rPr>
          <t>Autor:</t>
        </r>
        <r>
          <rPr>
            <sz val="9"/>
            <color indexed="81"/>
            <rFont val="Tahoma"/>
            <charset val="1"/>
          </rPr>
          <t xml:space="preserve">
Przyjmij wysokość nad poziomem morza miejsca lokalizacji rozpatrywanego budynku</t>
        </r>
      </text>
    </comment>
    <comment ref="C16" authorId="0" shapeId="0" xr:uid="{00000000-0006-0000-0500-000003000000}">
      <text>
        <r>
          <rPr>
            <b/>
            <sz val="9"/>
            <color indexed="81"/>
            <rFont val="Tahoma"/>
            <charset val="1"/>
          </rPr>
          <t>Autor:</t>
        </r>
        <r>
          <rPr>
            <sz val="9"/>
            <color indexed="81"/>
            <rFont val="Tahoma"/>
            <charset val="1"/>
          </rPr>
          <t xml:space="preserve">
Wybierz z listy rozwijanej kategorię terenu wokół miejsca lokalizacji rozpatrywanego budynku</t>
        </r>
      </text>
    </comment>
    <comment ref="C24" authorId="0" shapeId="0" xr:uid="{00000000-0006-0000-0500-000004000000}">
      <text>
        <r>
          <rPr>
            <b/>
            <sz val="9"/>
            <color indexed="81"/>
            <rFont val="Tahoma"/>
            <charset val="1"/>
          </rPr>
          <t>Autor:</t>
        </r>
        <r>
          <rPr>
            <sz val="9"/>
            <color indexed="81"/>
            <rFont val="Tahoma"/>
            <charset val="1"/>
          </rPr>
          <t xml:space="preserve">
Przyjmij wysokość rozpatrywanego budynku</t>
        </r>
      </text>
    </comment>
    <comment ref="C25" authorId="0" shapeId="0" xr:uid="{00000000-0006-0000-0500-000005000000}">
      <text>
        <r>
          <rPr>
            <b/>
            <sz val="9"/>
            <color indexed="81"/>
            <rFont val="Tahoma"/>
            <charset val="1"/>
          </rPr>
          <t>Autor:</t>
        </r>
        <r>
          <rPr>
            <sz val="9"/>
            <color indexed="81"/>
            <rFont val="Tahoma"/>
            <charset val="1"/>
          </rPr>
          <t xml:space="preserve">
Przyjmij jeden z wymiarów rzutu rozpatrywanego budynku</t>
        </r>
      </text>
    </comment>
    <comment ref="C26" authorId="0" shapeId="0" xr:uid="{00000000-0006-0000-0500-000006000000}">
      <text>
        <r>
          <rPr>
            <b/>
            <sz val="9"/>
            <color indexed="81"/>
            <rFont val="Tahoma"/>
            <charset val="1"/>
          </rPr>
          <t>Autor:</t>
        </r>
        <r>
          <rPr>
            <sz val="9"/>
            <color indexed="81"/>
            <rFont val="Tahoma"/>
            <charset val="1"/>
          </rPr>
          <t xml:space="preserve">
Przyjmij drugi z wymiarów rzutu rozpatrywanego budynku</t>
        </r>
      </text>
    </comment>
    <comment ref="C44" authorId="0" shapeId="0" xr:uid="{00000000-0006-0000-0500-000007000000}">
      <text>
        <r>
          <rPr>
            <b/>
            <sz val="9"/>
            <color indexed="81"/>
            <rFont val="Tahoma"/>
            <family val="2"/>
            <charset val="238"/>
          </rPr>
          <t>Autor:</t>
        </r>
        <r>
          <rPr>
            <sz val="9"/>
            <color indexed="81"/>
            <rFont val="Tahoma"/>
            <family val="2"/>
            <charset val="238"/>
          </rPr>
          <t xml:space="preserve">
Przyjmij wysokość odniesienia, według listy rozwijanej</t>
        </r>
      </text>
    </comment>
    <comment ref="D44" authorId="0" shapeId="0" xr:uid="{00000000-0006-0000-0500-000008000000}">
      <text>
        <r>
          <rPr>
            <b/>
            <sz val="9"/>
            <color indexed="81"/>
            <rFont val="Tahoma"/>
            <family val="2"/>
            <charset val="238"/>
          </rPr>
          <t xml:space="preserve">Autor:
</t>
        </r>
        <r>
          <rPr>
            <sz val="9"/>
            <color indexed="81"/>
            <rFont val="Tahoma"/>
            <family val="2"/>
            <charset val="238"/>
          </rPr>
          <t>Przyjmij wysokość odniesienia, według listy rozwijanej</t>
        </r>
      </text>
    </comment>
    <comment ref="C49" authorId="0" shapeId="0" xr:uid="{00000000-0006-0000-0500-000009000000}">
      <text>
        <r>
          <rPr>
            <b/>
            <sz val="9"/>
            <color indexed="81"/>
            <rFont val="Tahoma"/>
            <family val="2"/>
            <charset val="238"/>
          </rPr>
          <t>Autor:</t>
        </r>
        <r>
          <rPr>
            <sz val="9"/>
            <color indexed="81"/>
            <rFont val="Tahoma"/>
            <family val="2"/>
            <charset val="238"/>
          </rPr>
          <t xml:space="preserve">
W przypadku lokalizacji budynku na stoku albo w pobliżu wierzchołka stoku klifu, skarpy, pojedynczego wzgórza albo pasma wzgórz, przyjmij odpowiednią wartość współczynnika orografii, wyznaczoną w oddzielnych obliczeniach</t>
        </r>
      </text>
    </comment>
    <comment ref="C70" authorId="0" shapeId="0" xr:uid="{00000000-0006-0000-0500-00000A000000}">
      <text>
        <r>
          <rPr>
            <b/>
            <sz val="9"/>
            <color indexed="81"/>
            <rFont val="Tahoma"/>
            <family val="2"/>
            <charset val="238"/>
          </rPr>
          <t>Autor:</t>
        </r>
        <r>
          <rPr>
            <sz val="9"/>
            <color indexed="81"/>
            <rFont val="Tahoma"/>
            <family val="2"/>
            <charset val="238"/>
          </rPr>
          <t xml:space="preserve">
Wybierz z listy rozwijanej, przyjmowaną do dalszych obliczeń wartość szczytowego ciśnienia prędkości wiatru</t>
        </r>
      </text>
    </comment>
    <comment ref="C87" authorId="0" shapeId="0" xr:uid="{00000000-0006-0000-0500-00000B000000}">
      <text>
        <r>
          <rPr>
            <b/>
            <sz val="9"/>
            <color indexed="81"/>
            <rFont val="Tahoma"/>
            <family val="2"/>
            <charset val="238"/>
          </rPr>
          <t>Autor:</t>
        </r>
        <r>
          <rPr>
            <sz val="9"/>
            <color indexed="81"/>
            <rFont val="Tahoma"/>
            <family val="2"/>
            <charset val="238"/>
          </rPr>
          <t xml:space="preserve">
W razie potrzeby, przyjmij inną wartość współczynnika częściowego</t>
        </r>
      </text>
    </comment>
    <comment ref="C88" authorId="0" shapeId="0" xr:uid="{00000000-0006-0000-0500-00000C000000}">
      <text>
        <r>
          <rPr>
            <b/>
            <sz val="9"/>
            <color indexed="81"/>
            <rFont val="Tahoma"/>
            <charset val="1"/>
          </rPr>
          <t>Autor:</t>
        </r>
        <r>
          <rPr>
            <sz val="9"/>
            <color indexed="81"/>
            <rFont val="Tahoma"/>
            <charset val="1"/>
          </rPr>
          <t xml:space="preserve">
W razie potrzeby przyjmij dodatkowe obciążenie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C7" authorId="0" shapeId="0" xr:uid="{00000000-0006-0000-0600-000001000000}">
      <text>
        <r>
          <rPr>
            <b/>
            <sz val="9"/>
            <color indexed="81"/>
            <rFont val="Tahoma"/>
            <family val="2"/>
            <charset val="238"/>
          </rPr>
          <t>Autor:</t>
        </r>
        <r>
          <rPr>
            <sz val="9"/>
            <color indexed="81"/>
            <rFont val="Tahoma"/>
            <family val="2"/>
            <charset val="238"/>
          </rPr>
          <t xml:space="preserve">
Wybierz z listy rozwijanej strefę obciążenia wiatrem w Polsce, właściwą lokalizacji rozpatrywanego budynku</t>
        </r>
      </text>
    </comment>
    <comment ref="C8" authorId="0" shapeId="0" xr:uid="{00000000-0006-0000-0600-000002000000}">
      <text>
        <r>
          <rPr>
            <b/>
            <sz val="9"/>
            <color indexed="81"/>
            <rFont val="Tahoma"/>
            <family val="2"/>
            <charset val="238"/>
          </rPr>
          <t>Autor:</t>
        </r>
        <r>
          <rPr>
            <sz val="9"/>
            <color indexed="81"/>
            <rFont val="Tahoma"/>
            <family val="2"/>
            <charset val="238"/>
          </rPr>
          <t xml:space="preserve">
Przyjmij wysokość nad poziomem morza miejsca lokalizacji rozpatrywanego budynku</t>
        </r>
      </text>
    </comment>
    <comment ref="C11" authorId="0" shapeId="0" xr:uid="{00000000-0006-0000-0600-000003000000}">
      <text>
        <r>
          <rPr>
            <b/>
            <sz val="9"/>
            <color indexed="81"/>
            <rFont val="Tahoma"/>
            <family val="2"/>
            <charset val="238"/>
          </rPr>
          <t>Autor:</t>
        </r>
        <r>
          <rPr>
            <sz val="9"/>
            <color indexed="81"/>
            <rFont val="Tahoma"/>
            <family val="2"/>
            <charset val="238"/>
          </rPr>
          <t xml:space="preserve">
Przyjmij kąt odchylenia (zgodnie z ruchem wskazówek zegara) wybranej osi budynku od kierunku północnego </t>
        </r>
      </text>
    </comment>
    <comment ref="C15" authorId="0" shapeId="0" xr:uid="{00000000-0006-0000-0600-000004000000}">
      <text>
        <r>
          <rPr>
            <b/>
            <sz val="9"/>
            <color indexed="81"/>
            <rFont val="Tahoma"/>
            <family val="2"/>
            <charset val="238"/>
          </rPr>
          <t>Autor:</t>
        </r>
        <r>
          <rPr>
            <sz val="9"/>
            <color indexed="81"/>
            <rFont val="Tahoma"/>
            <family val="2"/>
            <charset val="238"/>
          </rPr>
          <t xml:space="preserve">
Przyjmij wartość współczynnika kierunkowego, według listy rozwijanej</t>
        </r>
      </text>
    </comment>
    <comment ref="D21" authorId="0" shapeId="0" xr:uid="{00000000-0006-0000-0600-000005000000}">
      <text>
        <r>
          <rPr>
            <b/>
            <sz val="9"/>
            <color indexed="81"/>
            <rFont val="Tahoma"/>
            <family val="2"/>
            <charset val="238"/>
          </rPr>
          <t>Autor:</t>
        </r>
        <r>
          <rPr>
            <sz val="9"/>
            <color indexed="81"/>
            <rFont val="Tahoma"/>
            <family val="2"/>
            <charset val="238"/>
          </rPr>
          <t xml:space="preserve">
Wybierz z listy rozwijanej kategorię terenu, właściwą danemu kierunkowi wiatru</t>
        </r>
      </text>
    </comment>
    <comment ref="E21" authorId="0" shapeId="0" xr:uid="{00000000-0006-0000-0600-000006000000}">
      <text>
        <r>
          <rPr>
            <b/>
            <sz val="9"/>
            <color indexed="81"/>
            <rFont val="Tahoma"/>
            <family val="2"/>
            <charset val="238"/>
          </rPr>
          <t xml:space="preserve">Autor:
</t>
        </r>
        <r>
          <rPr>
            <sz val="9"/>
            <color indexed="81"/>
            <rFont val="Tahoma"/>
            <family val="2"/>
            <charset val="238"/>
          </rPr>
          <t>Wybierz z listy rozwijanej kategorię terenu, właściwą danemu kierunkowi wiatru</t>
        </r>
      </text>
    </comment>
    <comment ref="F21" authorId="0" shapeId="0" xr:uid="{00000000-0006-0000-0600-000007000000}">
      <text>
        <r>
          <rPr>
            <b/>
            <sz val="9"/>
            <color indexed="81"/>
            <rFont val="Tahoma"/>
            <family val="2"/>
            <charset val="238"/>
          </rPr>
          <t>Autor:</t>
        </r>
        <r>
          <rPr>
            <sz val="9"/>
            <color indexed="81"/>
            <rFont val="Tahoma"/>
            <family val="2"/>
            <charset val="238"/>
          </rPr>
          <t xml:space="preserve">
Wybierz z listy rozwijanej kategorię terenu, właściwą danemu kierunkowi wiatru</t>
        </r>
      </text>
    </comment>
    <comment ref="G21" authorId="0" shapeId="0" xr:uid="{00000000-0006-0000-0600-000008000000}">
      <text>
        <r>
          <rPr>
            <b/>
            <sz val="9"/>
            <color indexed="81"/>
            <rFont val="Tahoma"/>
            <family val="2"/>
            <charset val="238"/>
          </rPr>
          <t>Autor:</t>
        </r>
        <r>
          <rPr>
            <sz val="9"/>
            <color indexed="81"/>
            <rFont val="Tahoma"/>
            <family val="2"/>
            <charset val="238"/>
          </rPr>
          <t xml:space="preserve">
Wybierz z listy rozwijanej kategorię terenu, właściwą danemu kierunkowi wiatru</t>
        </r>
      </text>
    </comment>
    <comment ref="C28" authorId="0" shapeId="0" xr:uid="{00000000-0006-0000-0600-000009000000}">
      <text>
        <r>
          <rPr>
            <b/>
            <sz val="9"/>
            <color indexed="81"/>
            <rFont val="Tahoma"/>
            <family val="2"/>
            <charset val="238"/>
          </rPr>
          <t>Autor:</t>
        </r>
        <r>
          <rPr>
            <sz val="9"/>
            <color indexed="81"/>
            <rFont val="Tahoma"/>
            <family val="2"/>
            <charset val="238"/>
          </rPr>
          <t xml:space="preserve">
Przyjmij wysokość rozpatrywanego budynku</t>
        </r>
      </text>
    </comment>
    <comment ref="C29" authorId="0" shapeId="0" xr:uid="{00000000-0006-0000-0600-00000A000000}">
      <text>
        <r>
          <rPr>
            <b/>
            <sz val="9"/>
            <color indexed="81"/>
            <rFont val="Tahoma"/>
            <family val="2"/>
            <charset val="238"/>
          </rPr>
          <t>Autor:</t>
        </r>
        <r>
          <rPr>
            <sz val="9"/>
            <color indexed="81"/>
            <rFont val="Tahoma"/>
            <family val="2"/>
            <charset val="238"/>
          </rPr>
          <t xml:space="preserve">
Przyjmij szerokość (wymiar prostopadły do kierunku Wiatru 1) rozpatrywanego budynku</t>
        </r>
      </text>
    </comment>
    <comment ref="C30" authorId="0" shapeId="0" xr:uid="{00000000-0006-0000-0600-00000B000000}">
      <text>
        <r>
          <rPr>
            <b/>
            <sz val="9"/>
            <color indexed="81"/>
            <rFont val="Tahoma"/>
            <family val="2"/>
            <charset val="238"/>
          </rPr>
          <t>Autor:</t>
        </r>
        <r>
          <rPr>
            <sz val="9"/>
            <color indexed="81"/>
            <rFont val="Tahoma"/>
            <family val="2"/>
            <charset val="238"/>
          </rPr>
          <t xml:space="preserve">
Przyjmij głębokość (wymiar równoległy do kierunku Wiatru 1) rozpatrywanego budynku</t>
        </r>
      </text>
    </comment>
    <comment ref="D41" authorId="0" shapeId="0" xr:uid="{00000000-0006-0000-0600-00000C000000}">
      <text>
        <r>
          <rPr>
            <b/>
            <sz val="9"/>
            <color indexed="81"/>
            <rFont val="Tahoma"/>
            <family val="2"/>
            <charset val="238"/>
          </rPr>
          <t>Autor:</t>
        </r>
        <r>
          <rPr>
            <sz val="9"/>
            <color indexed="81"/>
            <rFont val="Tahoma"/>
            <family val="2"/>
            <charset val="238"/>
          </rPr>
          <t xml:space="preserve">
Przyjmij wysokość odniesienia, według listy rozwijanej</t>
        </r>
      </text>
    </comment>
    <comment ref="E41" authorId="0" shapeId="0" xr:uid="{00000000-0006-0000-0600-00000D000000}">
      <text>
        <r>
          <rPr>
            <b/>
            <sz val="9"/>
            <color indexed="81"/>
            <rFont val="Tahoma"/>
            <charset val="1"/>
          </rPr>
          <t>Autor:</t>
        </r>
        <r>
          <rPr>
            <sz val="9"/>
            <color indexed="81"/>
            <rFont val="Tahoma"/>
            <charset val="1"/>
          </rPr>
          <t xml:space="preserve">
Przyjmij wysokość odniesienia, według listy rozwijanej</t>
        </r>
      </text>
    </comment>
    <comment ref="D47" authorId="0" shapeId="0" xr:uid="{00000000-0006-0000-0600-00000E000000}">
      <text>
        <r>
          <rPr>
            <b/>
            <sz val="9"/>
            <color indexed="81"/>
            <rFont val="Tahoma"/>
            <family val="2"/>
            <charset val="238"/>
          </rPr>
          <t>Autor:</t>
        </r>
        <r>
          <rPr>
            <sz val="9"/>
            <color indexed="81"/>
            <rFont val="Tahoma"/>
            <family val="2"/>
            <charset val="238"/>
          </rPr>
          <t xml:space="preserve">
W przypadku lokalizacji budynku na stoku albo w pobliżu wierzchołka stoku klifu, skarpy, pojedynczego wzgórza albo pasma wzgórz, przyjmij odpowiednią wartość współczynnika orografii, wyznaczoną w oddzielnych obliczeniach</t>
        </r>
      </text>
    </comment>
    <comment ref="E47" authorId="0" shapeId="0" xr:uid="{00000000-0006-0000-0600-00000F000000}">
      <text>
        <r>
          <rPr>
            <b/>
            <sz val="9"/>
            <color indexed="81"/>
            <rFont val="Tahoma"/>
            <charset val="1"/>
          </rPr>
          <t>Autor:</t>
        </r>
        <r>
          <rPr>
            <sz val="9"/>
            <color indexed="81"/>
            <rFont val="Tahoma"/>
            <charset val="1"/>
          </rPr>
          <t xml:space="preserve">
W przypadku lokalizacji budynku na stoku albo w pobliżu wierzchołka stoku klifu, skarpy, pojedynczego wzgórza albo pasma wzgórz, przyjmij odpowiednią wartość współczynnika orografii, wyznaczoną w oddzielnych obliczeniach</t>
        </r>
      </text>
    </comment>
    <comment ref="F47" authorId="0" shapeId="0" xr:uid="{00000000-0006-0000-0600-000010000000}">
      <text>
        <r>
          <rPr>
            <b/>
            <sz val="9"/>
            <color indexed="81"/>
            <rFont val="Tahoma"/>
            <charset val="1"/>
          </rPr>
          <t>Autor:</t>
        </r>
        <r>
          <rPr>
            <sz val="9"/>
            <color indexed="81"/>
            <rFont val="Tahoma"/>
            <charset val="1"/>
          </rPr>
          <t xml:space="preserve">
W przypadku lokalizacji budynku na stoku albo w pobliżu wierzchołka stoku klifu, skarpy, pojedynczego wzgórza albo pasma wzgórz, przyjmij odpowiednią wartość współczynnika orografii, wyznaczoną w oddzielnych obliczeniach</t>
        </r>
      </text>
    </comment>
    <comment ref="G47" authorId="0" shapeId="0" xr:uid="{00000000-0006-0000-0600-000011000000}">
      <text>
        <r>
          <rPr>
            <b/>
            <sz val="9"/>
            <color indexed="81"/>
            <rFont val="Tahoma"/>
            <charset val="1"/>
          </rPr>
          <t>Autor:</t>
        </r>
        <r>
          <rPr>
            <sz val="9"/>
            <color indexed="81"/>
            <rFont val="Tahoma"/>
            <charset val="1"/>
          </rPr>
          <t xml:space="preserve">
W przypadku lokalizacji budynku na stoku albo w pobliżu wierzchołka stoku klifu, skarpy, pojedynczego wzgórza albo pasma wzgórz, przyjmij odpowiednią wartość współczynnika orografii, wyznaczoną w oddzielnych obliczeniach</t>
        </r>
      </text>
    </comment>
    <comment ref="C68" authorId="0" shapeId="0" xr:uid="{00000000-0006-0000-0600-000012000000}">
      <text>
        <r>
          <rPr>
            <b/>
            <sz val="9"/>
            <color indexed="81"/>
            <rFont val="Tahoma"/>
            <charset val="1"/>
          </rPr>
          <t>Autor:</t>
        </r>
        <r>
          <rPr>
            <sz val="9"/>
            <color indexed="81"/>
            <rFont val="Tahoma"/>
            <charset val="1"/>
          </rPr>
          <t xml:space="preserve">
Wybierz z listy rozwijanej, przyjmowaną do dalszych obliczeń wartość szczytowego ciśnienia prędkości wiatru</t>
        </r>
      </text>
    </comment>
    <comment ref="D74" authorId="0" shapeId="0" xr:uid="{00000000-0006-0000-0600-000013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E74" authorId="0" shapeId="0" xr:uid="{00000000-0006-0000-0600-000014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F74" authorId="0" shapeId="0" xr:uid="{00000000-0006-0000-0600-000015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G74" authorId="0" shapeId="0" xr:uid="{00000000-0006-0000-0600-000016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D75" authorId="0" shapeId="0" xr:uid="{00000000-0006-0000-0600-000017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E75" authorId="0" shapeId="0" xr:uid="{00000000-0006-0000-0600-000018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F75" authorId="0" shapeId="0" xr:uid="{00000000-0006-0000-0600-000019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G75" authorId="0" shapeId="0" xr:uid="{00000000-0006-0000-0600-00001A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D76" authorId="0" shapeId="0" xr:uid="{00000000-0006-0000-0600-00001B000000}">
      <text>
        <r>
          <rPr>
            <b/>
            <sz val="9"/>
            <color indexed="81"/>
            <rFont val="Tahoma"/>
            <family val="2"/>
            <charset val="238"/>
          </rPr>
          <t xml:space="preserve">Autor:
</t>
        </r>
        <r>
          <rPr>
            <sz val="9"/>
            <color indexed="81"/>
            <rFont val="Tahoma"/>
            <family val="2"/>
            <charset val="238"/>
          </rPr>
          <t>Wybierz z listy rozwijanej, przyjmowaną do dalszych obliczeń wartość wsp ciśnienia zewnętrznego</t>
        </r>
      </text>
    </comment>
    <comment ref="E76" authorId="0" shapeId="0" xr:uid="{00000000-0006-0000-0600-00001C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F76" authorId="0" shapeId="0" xr:uid="{00000000-0006-0000-0600-00001D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G76" authorId="0" shapeId="0" xr:uid="{00000000-0006-0000-0600-00001E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D77" authorId="0" shapeId="0" xr:uid="{00000000-0006-0000-0600-00001F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E77" authorId="0" shapeId="0" xr:uid="{00000000-0006-0000-0600-000020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F77" authorId="0" shapeId="0" xr:uid="{00000000-0006-0000-0600-000021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G77" authorId="0" shapeId="0" xr:uid="{00000000-0006-0000-0600-000022000000}">
      <text>
        <r>
          <rPr>
            <b/>
            <sz val="9"/>
            <color indexed="81"/>
            <rFont val="Tahoma"/>
            <family val="2"/>
            <charset val="238"/>
          </rPr>
          <t>Autor:</t>
        </r>
        <r>
          <rPr>
            <sz val="9"/>
            <color indexed="81"/>
            <rFont val="Tahoma"/>
            <family val="2"/>
            <charset val="238"/>
          </rPr>
          <t xml:space="preserve">
Wybierz z listy rozwijanej, przyjmowaną do dalszych obliczeń wartość wsp ciśnienia zewnętrznego</t>
        </r>
      </text>
    </comment>
    <comment ref="C90" authorId="0" shapeId="0" xr:uid="{00000000-0006-0000-0600-000023000000}">
      <text>
        <r>
          <rPr>
            <b/>
            <sz val="9"/>
            <color indexed="81"/>
            <rFont val="Tahoma"/>
            <charset val="1"/>
          </rPr>
          <t>Autor:</t>
        </r>
        <r>
          <rPr>
            <sz val="9"/>
            <color indexed="81"/>
            <rFont val="Tahoma"/>
            <charset val="1"/>
          </rPr>
          <t xml:space="preserve">
W razie potrzeby, przyjmij inną wartość współczynnika częściowego</t>
        </r>
      </text>
    </comment>
    <comment ref="C91" authorId="0" shapeId="0" xr:uid="{00000000-0006-0000-0600-000024000000}">
      <text>
        <r>
          <rPr>
            <b/>
            <sz val="9"/>
            <color indexed="81"/>
            <rFont val="Tahoma"/>
            <charset val="1"/>
          </rPr>
          <t>Autor:</t>
        </r>
        <r>
          <rPr>
            <sz val="9"/>
            <color indexed="81"/>
            <rFont val="Tahoma"/>
            <charset val="1"/>
          </rPr>
          <t xml:space="preserve">
W razie potrzeby przyjmij dodatkowe obciążenie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O8" authorId="0" shapeId="0" xr:uid="{00000000-0006-0000-0900-000001000000}">
      <text>
        <r>
          <rPr>
            <b/>
            <sz val="9"/>
            <color indexed="81"/>
            <rFont val="Tahoma"/>
            <family val="2"/>
            <charset val="238"/>
          </rPr>
          <t>Autor:</t>
        </r>
        <r>
          <rPr>
            <sz val="9"/>
            <color indexed="81"/>
            <rFont val="Tahoma"/>
            <family val="2"/>
            <charset val="238"/>
          </rPr>
          <t xml:space="preserve">
Wybierz z listy rozwijanej rozpatrywany układ łączników.</t>
        </r>
      </text>
    </comment>
    <comment ref="O9" authorId="0" shapeId="0" xr:uid="{00000000-0006-0000-0900-000002000000}">
      <text>
        <r>
          <rPr>
            <b/>
            <sz val="9"/>
            <color indexed="81"/>
            <rFont val="Tahoma"/>
            <family val="2"/>
            <charset val="238"/>
          </rPr>
          <t>Autor:</t>
        </r>
        <r>
          <rPr>
            <sz val="9"/>
            <color indexed="81"/>
            <rFont val="Tahoma"/>
            <family val="2"/>
            <charset val="238"/>
          </rPr>
          <t xml:space="preserve">
Przyjmij minimalną liczbę łączników.</t>
        </r>
      </text>
    </comment>
    <comment ref="O10" authorId="0" shapeId="0" xr:uid="{00000000-0006-0000-0900-000003000000}">
      <text>
        <r>
          <rPr>
            <b/>
            <sz val="9"/>
            <color indexed="81"/>
            <rFont val="Tahoma"/>
            <family val="2"/>
            <charset val="238"/>
          </rPr>
          <t>Autor:</t>
        </r>
        <r>
          <rPr>
            <sz val="9"/>
            <color indexed="81"/>
            <rFont val="Tahoma"/>
            <family val="2"/>
            <charset val="238"/>
          </rPr>
          <t xml:space="preserve">
Przyjmij dopuszczalne niedoszacowanie nośności.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O8" authorId="0" shapeId="0" xr:uid="{00000000-0006-0000-0A00-000001000000}">
      <text>
        <r>
          <rPr>
            <b/>
            <sz val="9"/>
            <color indexed="81"/>
            <rFont val="Tahoma"/>
            <charset val="1"/>
          </rPr>
          <t xml:space="preserve">Autor:
</t>
        </r>
        <r>
          <rPr>
            <sz val="9"/>
            <color indexed="81"/>
            <rFont val="Tahoma"/>
            <family val="2"/>
            <charset val="238"/>
          </rPr>
          <t>Wybierz z listy rozwijanej rozpatrywany układ łączników.</t>
        </r>
      </text>
    </comment>
    <comment ref="O9" authorId="0" shapeId="0" xr:uid="{00000000-0006-0000-0A00-000002000000}">
      <text>
        <r>
          <rPr>
            <b/>
            <sz val="9"/>
            <color indexed="81"/>
            <rFont val="Tahoma"/>
            <family val="2"/>
            <charset val="238"/>
          </rPr>
          <t xml:space="preserve">Autor:
</t>
        </r>
        <r>
          <rPr>
            <sz val="9"/>
            <color indexed="81"/>
            <rFont val="Tahoma"/>
            <family val="2"/>
            <charset val="238"/>
          </rPr>
          <t>Przyjmij minimalną liczbę łączników.</t>
        </r>
      </text>
    </comment>
    <comment ref="O10" authorId="0" shapeId="0" xr:uid="{00000000-0006-0000-0A00-000003000000}">
      <text>
        <r>
          <rPr>
            <b/>
            <sz val="9"/>
            <color indexed="81"/>
            <rFont val="Tahoma"/>
            <family val="2"/>
            <charset val="238"/>
          </rPr>
          <t xml:space="preserve">Autor:
</t>
        </r>
        <r>
          <rPr>
            <sz val="9"/>
            <color indexed="81"/>
            <rFont val="Tahoma"/>
            <family val="2"/>
            <charset val="238"/>
          </rPr>
          <t>Przyjmij dopuszczalne niedoszacowanie nośności.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P8" authorId="0" shapeId="0" xr:uid="{00000000-0006-0000-0B00-000001000000}">
      <text>
        <r>
          <rPr>
            <b/>
            <sz val="9"/>
            <color indexed="81"/>
            <rFont val="Tahoma"/>
            <family val="2"/>
            <charset val="238"/>
          </rPr>
          <t>Autor:</t>
        </r>
        <r>
          <rPr>
            <sz val="9"/>
            <color indexed="81"/>
            <rFont val="Tahoma"/>
            <family val="2"/>
            <charset val="238"/>
          </rPr>
          <t xml:space="preserve">
Przyjmij przemieszczenie łącznika wg dokumentu ETA</t>
        </r>
      </text>
    </comment>
    <comment ref="P9" authorId="0" shapeId="0" xr:uid="{00000000-0006-0000-0B00-000002000000}">
      <text>
        <r>
          <rPr>
            <b/>
            <sz val="9"/>
            <color indexed="81"/>
            <rFont val="Tahoma"/>
            <family val="2"/>
            <charset val="238"/>
          </rPr>
          <t>Autor:</t>
        </r>
        <r>
          <rPr>
            <sz val="9"/>
            <color indexed="81"/>
            <rFont val="Tahoma"/>
            <family val="2"/>
            <charset val="238"/>
          </rPr>
          <t xml:space="preserve">
Przyjmij siłę wyrywającą łącznik wg dokumentu ETA</t>
        </r>
      </text>
    </comment>
    <comment ref="P10" authorId="0" shapeId="0" xr:uid="{00000000-0006-0000-0B00-000003000000}">
      <text>
        <r>
          <rPr>
            <b/>
            <sz val="9"/>
            <color indexed="81"/>
            <rFont val="Tahoma"/>
            <family val="2"/>
            <charset val="238"/>
          </rPr>
          <t>Autor:</t>
        </r>
        <r>
          <rPr>
            <sz val="9"/>
            <color indexed="81"/>
            <rFont val="Tahoma"/>
            <family val="2"/>
            <charset val="238"/>
          </rPr>
          <t xml:space="preserve">
Określ przemieszczenie graniczne w miejscu występowania łącznika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Mariusz</author>
  </authors>
  <commentList>
    <comment ref="P8" authorId="0" shapeId="0" xr:uid="{00000000-0006-0000-0C00-000001000000}">
      <text>
        <r>
          <rPr>
            <b/>
            <sz val="9"/>
            <color indexed="81"/>
            <rFont val="Tahoma"/>
            <family val="2"/>
            <charset val="238"/>
          </rPr>
          <t>Autor:</t>
        </r>
        <r>
          <rPr>
            <sz val="9"/>
            <color indexed="81"/>
            <rFont val="Tahoma"/>
            <family val="2"/>
            <charset val="238"/>
          </rPr>
          <t xml:space="preserve">
Przyjmij przemieszczenie łącznika wg dokumentu ETA</t>
        </r>
      </text>
    </comment>
    <comment ref="P9" authorId="0" shapeId="0" xr:uid="{00000000-0006-0000-0C00-000002000000}">
      <text>
        <r>
          <rPr>
            <b/>
            <sz val="9"/>
            <color indexed="81"/>
            <rFont val="Tahoma"/>
            <family val="2"/>
            <charset val="238"/>
          </rPr>
          <t>Autor:</t>
        </r>
        <r>
          <rPr>
            <sz val="9"/>
            <color indexed="81"/>
            <rFont val="Tahoma"/>
            <family val="2"/>
            <charset val="238"/>
          </rPr>
          <t xml:space="preserve">
Przyjmij siłę wyrywającą łącznik wg dokumentu ETA</t>
        </r>
      </text>
    </comment>
    <comment ref="P10" authorId="0" shapeId="0" xr:uid="{00000000-0006-0000-0C00-000003000000}">
      <text>
        <r>
          <rPr>
            <b/>
            <sz val="9"/>
            <color indexed="81"/>
            <rFont val="Tahoma"/>
            <family val="2"/>
            <charset val="238"/>
          </rPr>
          <t>Autor:</t>
        </r>
        <r>
          <rPr>
            <sz val="9"/>
            <color indexed="81"/>
            <rFont val="Tahoma"/>
            <family val="2"/>
            <charset val="238"/>
          </rPr>
          <t xml:space="preserve">
Określ przemieszczenie graniczne w miejscu występowania łącznika</t>
        </r>
      </text>
    </comment>
  </commentList>
</comments>
</file>

<file path=xl/sharedStrings.xml><?xml version="1.0" encoding="utf-8"?>
<sst xmlns="http://schemas.openxmlformats.org/spreadsheetml/2006/main" count="1081" uniqueCount="335">
  <si>
    <t>Schemat mocowania łącznikami mechanicznymi</t>
  </si>
  <si>
    <t>Wymiary płyt termoizolacyjnych</t>
  </si>
  <si>
    <t>- długość, m</t>
  </si>
  <si>
    <t>- szerokość, m</t>
  </si>
  <si>
    <t>Liczba łączników na jedną płytę, szt</t>
  </si>
  <si>
    <t>Częściowy współczynnik bezpieczeństwa, -</t>
  </si>
  <si>
    <t>Należy spełnić warunki:</t>
  </si>
  <si>
    <t>Wysokość nad poziomem morza, a [m]</t>
  </si>
  <si>
    <r>
      <t>Wartość podstawowa bazowej prędkości wiatru, v</t>
    </r>
    <r>
      <rPr>
        <sz val="8"/>
        <rFont val="Arial"/>
        <family val="2"/>
        <charset val="238"/>
      </rPr>
      <t>b,o</t>
    </r>
    <r>
      <rPr>
        <sz val="11"/>
        <color theme="1"/>
        <rFont val="Calibri"/>
        <family val="2"/>
        <charset val="238"/>
        <scheme val="minor"/>
      </rPr>
      <t xml:space="preserve"> [m/s]</t>
    </r>
  </si>
  <si>
    <r>
      <t>Współczynnik kierunkowy, c</t>
    </r>
    <r>
      <rPr>
        <sz val="8"/>
        <rFont val="Arial"/>
        <family val="2"/>
        <charset val="238"/>
      </rPr>
      <t>dir</t>
    </r>
  </si>
  <si>
    <r>
      <t>Współczynnik sezonowy, c</t>
    </r>
    <r>
      <rPr>
        <sz val="8"/>
        <rFont val="Arial"/>
        <family val="2"/>
        <charset val="238"/>
      </rPr>
      <t>season</t>
    </r>
  </si>
  <si>
    <r>
      <t>Bazowa prędkość wiatru, v</t>
    </r>
    <r>
      <rPr>
        <sz val="8"/>
        <rFont val="Arial"/>
        <family val="2"/>
        <charset val="238"/>
      </rPr>
      <t>b</t>
    </r>
    <r>
      <rPr>
        <sz val="11"/>
        <color theme="1"/>
        <rFont val="Calibri"/>
        <family val="2"/>
        <charset val="238"/>
        <scheme val="minor"/>
      </rPr>
      <t>, [m/s]</t>
    </r>
  </si>
  <si>
    <t>Strefa obciążenia wiatrem (1, 2 albo 3)</t>
  </si>
  <si>
    <t>Współczynnik ciśnienia zewnętrznego, -</t>
  </si>
  <si>
    <t>Wartości strefowe</t>
  </si>
  <si>
    <t>Parametry terenu</t>
  </si>
  <si>
    <r>
      <t>Wysokość chropowatości, z</t>
    </r>
    <r>
      <rPr>
        <sz val="8"/>
        <rFont val="Arial"/>
        <family val="2"/>
        <charset val="238"/>
      </rPr>
      <t>o</t>
    </r>
    <r>
      <rPr>
        <sz val="11"/>
        <color theme="1"/>
        <rFont val="Calibri"/>
        <family val="2"/>
        <charset val="238"/>
        <scheme val="minor"/>
      </rPr>
      <t xml:space="preserve"> [m]</t>
    </r>
  </si>
  <si>
    <r>
      <t>Wysokość minimalna, z</t>
    </r>
    <r>
      <rPr>
        <sz val="8"/>
        <rFont val="Arial"/>
        <family val="2"/>
        <charset val="238"/>
      </rPr>
      <t>min</t>
    </r>
    <r>
      <rPr>
        <sz val="11"/>
        <color theme="1"/>
        <rFont val="Calibri"/>
        <family val="2"/>
        <charset val="238"/>
        <scheme val="minor"/>
      </rPr>
      <t xml:space="preserve"> [m]</t>
    </r>
  </si>
  <si>
    <r>
      <t>Współczynnik terenu, k</t>
    </r>
    <r>
      <rPr>
        <sz val="8"/>
        <rFont val="Arial"/>
        <family val="2"/>
        <charset val="238"/>
      </rPr>
      <t>r</t>
    </r>
  </si>
  <si>
    <t>Kategoria terenu (0, I, II, III albo IV)</t>
  </si>
  <si>
    <t>Charakterystyka budynku</t>
  </si>
  <si>
    <t>Wysokość, h [m]</t>
  </si>
  <si>
    <t>Szerokość, b [m]</t>
  </si>
  <si>
    <t>Głębokość, d [m]</t>
  </si>
  <si>
    <r>
      <t>Współczynnik turbulencji, k</t>
    </r>
    <r>
      <rPr>
        <sz val="8"/>
        <rFont val="Arial"/>
        <family val="2"/>
        <charset val="238"/>
      </rPr>
      <t>l</t>
    </r>
  </si>
  <si>
    <t>Współczynnik wysokości, -</t>
  </si>
  <si>
    <r>
      <t>Współczynnik chropowatości na wysokości odniesienia, c</t>
    </r>
    <r>
      <rPr>
        <sz val="8"/>
        <rFont val="Arial"/>
        <family val="2"/>
        <charset val="238"/>
      </rPr>
      <t>r</t>
    </r>
    <r>
      <rPr>
        <sz val="11"/>
        <color theme="1"/>
        <rFont val="Calibri"/>
        <family val="2"/>
        <charset val="238"/>
        <scheme val="minor"/>
      </rPr>
      <t>(z</t>
    </r>
    <r>
      <rPr>
        <sz val="11"/>
        <color theme="1"/>
        <rFont val="Calibri"/>
        <family val="2"/>
        <charset val="238"/>
        <scheme val="minor"/>
      </rPr>
      <t>)</t>
    </r>
  </si>
  <si>
    <r>
      <t>Współczynnik orografii na wysokości odniesienia, c</t>
    </r>
    <r>
      <rPr>
        <sz val="8"/>
        <rFont val="Arial"/>
        <family val="2"/>
        <charset val="238"/>
      </rPr>
      <t>o</t>
    </r>
    <r>
      <rPr>
        <sz val="11"/>
        <color theme="1"/>
        <rFont val="Calibri"/>
        <family val="2"/>
        <charset val="238"/>
        <scheme val="minor"/>
      </rPr>
      <t xml:space="preserve"> (z</t>
    </r>
    <r>
      <rPr>
        <sz val="11"/>
        <color theme="1"/>
        <rFont val="Calibri"/>
        <family val="2"/>
        <charset val="238"/>
        <scheme val="minor"/>
      </rPr>
      <t>)</t>
    </r>
  </si>
  <si>
    <r>
      <t>Intensywność turbulencji na wysokości odniesienia, I</t>
    </r>
    <r>
      <rPr>
        <sz val="8"/>
        <rFont val="Arial"/>
        <family val="2"/>
        <charset val="238"/>
      </rPr>
      <t>v</t>
    </r>
    <r>
      <rPr>
        <sz val="11"/>
        <color theme="1"/>
        <rFont val="Calibri"/>
        <family val="2"/>
        <charset val="238"/>
        <scheme val="minor"/>
      </rPr>
      <t>(z</t>
    </r>
    <r>
      <rPr>
        <sz val="11"/>
        <color theme="1"/>
        <rFont val="Calibri"/>
        <family val="2"/>
        <charset val="238"/>
        <scheme val="minor"/>
      </rPr>
      <t>)</t>
    </r>
  </si>
  <si>
    <t>Współczynniki ciśnienia zewnętrznego</t>
  </si>
  <si>
    <t>pole A</t>
  </si>
  <si>
    <t>pole B</t>
  </si>
  <si>
    <t>pole C</t>
  </si>
  <si>
    <t>pole E</t>
  </si>
  <si>
    <r>
      <t>Częściowy współczynnik bezpieczeństwa, γ</t>
    </r>
    <r>
      <rPr>
        <sz val="8"/>
        <color theme="1"/>
        <rFont val="Calibri"/>
        <family val="2"/>
        <charset val="238"/>
        <scheme val="minor"/>
      </rPr>
      <t>Q</t>
    </r>
    <r>
      <rPr>
        <sz val="11"/>
        <color theme="1"/>
        <rFont val="Calibri"/>
        <family val="2"/>
        <charset val="238"/>
        <scheme val="minor"/>
      </rPr>
      <t>, -</t>
    </r>
  </si>
  <si>
    <t>Szerokość pola A na ścianie o długości d, m</t>
  </si>
  <si>
    <t>Szerokość pola B na ścianie o długości d, m</t>
  </si>
  <si>
    <t>Szerokość pola C na ścianie o długości d, m</t>
  </si>
  <si>
    <t>Odległość od krawędzi, e [m]</t>
  </si>
  <si>
    <t>Proporcja h/d</t>
  </si>
  <si>
    <t>Numer schematu mocowania łącznikami mechanicznymi</t>
  </si>
  <si>
    <t>Określenie pól A - C przy oddziaływaniu wiatru z jednego kierunku</t>
  </si>
  <si>
    <t>Określenie pól A - C z uwzględnieniem przeciwnych kierunków wiatru</t>
  </si>
  <si>
    <t>Szerokość każdego pola A na ścianach o długości d, m</t>
  </si>
  <si>
    <t>Szerokość każdego pola B naścianach o długości d, m</t>
  </si>
  <si>
    <t>Szerokość pola C na ścianach o długości d, m</t>
  </si>
  <si>
    <t>Określenie pól A - C na ścianach bocznych</t>
  </si>
  <si>
    <t>Szerokości pól na ścianie o długości d, m</t>
  </si>
  <si>
    <t>Układ pól na ścianie o długości d</t>
  </si>
  <si>
    <t>Ciśnienie wiatru na powierzchnie</t>
  </si>
  <si>
    <t>Układ ciśnienia z uwzględnieniem czterech kierunków wiatru</t>
  </si>
  <si>
    <t>II</t>
  </si>
  <si>
    <t>Szczytowe ciśnienie prędkości wg EN albo NA ?</t>
  </si>
  <si>
    <t>Przyjmowane do obliczeń szczytowe ciśnienie prędkości wiatru</t>
  </si>
  <si>
    <t>Szczytowe ciśnienie prędkości wiatru wg zasadniczej części EN</t>
  </si>
  <si>
    <r>
      <t>Wysokość maksymalna (wg NA), z</t>
    </r>
    <r>
      <rPr>
        <sz val="8"/>
        <color theme="1"/>
        <rFont val="Arial"/>
        <family val="2"/>
        <charset val="238"/>
      </rPr>
      <t>max</t>
    </r>
    <r>
      <rPr>
        <sz val="11"/>
        <color theme="1"/>
        <rFont val="Calibri"/>
        <family val="2"/>
        <charset val="238"/>
        <scheme val="minor"/>
      </rPr>
      <t xml:space="preserve"> [m]</t>
    </r>
  </si>
  <si>
    <r>
      <t>Szczytowe ciśnienie prędkości wiatru wg Załącznika krajowego NA, c</t>
    </r>
    <r>
      <rPr>
        <b/>
        <sz val="8"/>
        <color theme="1"/>
        <rFont val="Calibri"/>
        <family val="2"/>
        <charset val="238"/>
        <scheme val="minor"/>
      </rPr>
      <t>o</t>
    </r>
    <r>
      <rPr>
        <b/>
        <sz val="11"/>
        <color theme="1"/>
        <rFont val="Calibri"/>
        <family val="2"/>
        <charset val="238"/>
        <scheme val="minor"/>
      </rPr>
      <t xml:space="preserve"> ≥ 1</t>
    </r>
  </si>
  <si>
    <r>
      <t>Szczytowe ciśnienie prędkości wiatru wg Załącznika krajowego NA, c</t>
    </r>
    <r>
      <rPr>
        <b/>
        <sz val="8"/>
        <color theme="1"/>
        <rFont val="Calibri"/>
        <family val="2"/>
        <charset val="238"/>
        <scheme val="minor"/>
      </rPr>
      <t>o</t>
    </r>
    <r>
      <rPr>
        <b/>
        <sz val="11"/>
        <color theme="1"/>
        <rFont val="Calibri"/>
        <family val="2"/>
        <charset val="238"/>
        <scheme val="minor"/>
      </rPr>
      <t xml:space="preserve"> = 1</t>
    </r>
  </si>
  <si>
    <r>
      <t>Współczynnik ekspozycji, c</t>
    </r>
    <r>
      <rPr>
        <sz val="8"/>
        <color theme="1"/>
        <rFont val="Calibri"/>
        <family val="2"/>
        <charset val="238"/>
        <scheme val="minor"/>
      </rPr>
      <t>e</t>
    </r>
    <r>
      <rPr>
        <sz val="11"/>
        <color theme="1"/>
        <rFont val="Calibri"/>
        <family val="2"/>
        <charset val="238"/>
        <scheme val="minor"/>
      </rPr>
      <t>(z)</t>
    </r>
  </si>
  <si>
    <r>
      <t>Wartość bazowa ciśnienia prędkości, q</t>
    </r>
    <r>
      <rPr>
        <sz val="8"/>
        <color theme="1"/>
        <rFont val="Calibri"/>
        <family val="2"/>
        <charset val="238"/>
        <scheme val="minor"/>
      </rPr>
      <t>b</t>
    </r>
    <r>
      <rPr>
        <sz val="11"/>
        <color theme="1"/>
        <rFont val="Calibri"/>
        <family val="2"/>
        <charset val="238"/>
        <scheme val="minor"/>
      </rPr>
      <t xml:space="preserve"> [kN/m2]</t>
    </r>
  </si>
  <si>
    <t>I</t>
  </si>
  <si>
    <t>III</t>
  </si>
  <si>
    <t>IV</t>
  </si>
  <si>
    <t>EN</t>
  </si>
  <si>
    <t>NA, co = 1</t>
  </si>
  <si>
    <r>
      <t>NA, c</t>
    </r>
    <r>
      <rPr>
        <sz val="8"/>
        <color theme="1"/>
        <rFont val="Calibri"/>
        <family val="2"/>
        <charset val="238"/>
        <scheme val="minor"/>
      </rPr>
      <t>o</t>
    </r>
    <r>
      <rPr>
        <sz val="11"/>
        <color theme="1"/>
        <rFont val="Calibri"/>
        <family val="2"/>
        <charset val="238"/>
        <scheme val="minor"/>
      </rPr>
      <t xml:space="preserve"> = 1</t>
    </r>
  </si>
  <si>
    <r>
      <t>NA, c</t>
    </r>
    <r>
      <rPr>
        <sz val="8"/>
        <color theme="1"/>
        <rFont val="Calibri"/>
        <family val="2"/>
        <charset val="238"/>
        <scheme val="minor"/>
      </rPr>
      <t>o</t>
    </r>
    <r>
      <rPr>
        <sz val="11"/>
        <color theme="1"/>
        <rFont val="Calibri"/>
        <family val="2"/>
        <charset val="238"/>
        <scheme val="minor"/>
      </rPr>
      <t xml:space="preserve"> ≥ 1</t>
    </r>
  </si>
  <si>
    <t>Kategoria 0</t>
  </si>
  <si>
    <t>Kategoria I</t>
  </si>
  <si>
    <t>Kategoria II</t>
  </si>
  <si>
    <t>Kategoria III</t>
  </si>
  <si>
    <t>Kategoria IV</t>
  </si>
  <si>
    <t>Morze, obszar brzegowy otwarty na morze</t>
  </si>
  <si>
    <t>Jeziora albo obszary z pomijalną niewielką roślinnością i bez przeszkód</t>
  </si>
  <si>
    <t>Obszary z niską roślinnością, taką jak trawa, oraz pojedynczymi przeszkodami (drzewa, budynki) oddalonymi od siebie na odległość nie mniejszą niż 20 ich wysokości</t>
  </si>
  <si>
    <t>Obszary regularnie pokryte roślinnością albo budynkami lub z pojedynczymi przeszkodami oddalonymi od siebie na odległość nie większą niż 20 ich wysokości (jak wsie, tereny podmiejskie, stałe lasy)</t>
  </si>
  <si>
    <t>Obszary, na których przynajmniej 15 % powierzchni pokrywają budynki o średniej wysokości przekraczającej 15 m</t>
  </si>
  <si>
    <t>http://www.wysokosc.mapa.info.pl/</t>
  </si>
  <si>
    <t>Kierunek wiatru</t>
  </si>
  <si>
    <t>Sytuacje obliczeniowe</t>
  </si>
  <si>
    <t>Wiatr 1</t>
  </si>
  <si>
    <t>Wiatr 2</t>
  </si>
  <si>
    <t>Wiatr 3</t>
  </si>
  <si>
    <t>Wiatr 4</t>
  </si>
  <si>
    <r>
      <t>Wartość podstawowa ciśnienia prędkości wiatru, q</t>
    </r>
    <r>
      <rPr>
        <sz val="8"/>
        <rFont val="Arial"/>
        <family val="2"/>
        <charset val="238"/>
      </rPr>
      <t>b,o</t>
    </r>
    <r>
      <rPr>
        <sz val="11"/>
        <color theme="1"/>
        <rFont val="Calibri"/>
        <family val="2"/>
        <charset val="238"/>
        <scheme val="minor"/>
      </rPr>
      <t xml:space="preserve"> [kN/m</t>
    </r>
    <r>
      <rPr>
        <sz val="11"/>
        <color theme="1"/>
        <rFont val="Calibri"/>
        <family val="2"/>
        <charset val="238"/>
      </rPr>
      <t>²</t>
    </r>
    <r>
      <rPr>
        <sz val="11"/>
        <color theme="1"/>
        <rFont val="Calibri"/>
        <family val="2"/>
        <charset val="238"/>
        <scheme val="minor"/>
      </rPr>
      <t>]</t>
    </r>
  </si>
  <si>
    <r>
      <t>Szczytowe ciśnienie prędkości na wysokości odniesienia, q</t>
    </r>
    <r>
      <rPr>
        <sz val="8"/>
        <color theme="1"/>
        <rFont val="Calibri"/>
        <family val="2"/>
        <charset val="238"/>
        <scheme val="minor"/>
      </rPr>
      <t>p</t>
    </r>
    <r>
      <rPr>
        <sz val="11"/>
        <color theme="1"/>
        <rFont val="Calibri"/>
        <family val="2"/>
        <charset val="238"/>
        <scheme val="minor"/>
      </rPr>
      <t>(z) [kN/m</t>
    </r>
    <r>
      <rPr>
        <sz val="11"/>
        <color theme="1"/>
        <rFont val="Calibri"/>
        <family val="2"/>
        <charset val="238"/>
      </rPr>
      <t>²</t>
    </r>
    <r>
      <rPr>
        <sz val="11"/>
        <color theme="1"/>
        <rFont val="Calibri"/>
        <family val="2"/>
        <charset val="238"/>
        <scheme val="minor"/>
      </rPr>
      <t>]</t>
    </r>
  </si>
  <si>
    <r>
      <t>Wartość bazowa ciśnienia prędkości, q</t>
    </r>
    <r>
      <rPr>
        <sz val="8"/>
        <color theme="1"/>
        <rFont val="Calibri"/>
        <family val="2"/>
        <charset val="238"/>
        <scheme val="minor"/>
      </rPr>
      <t>b</t>
    </r>
    <r>
      <rPr>
        <sz val="11"/>
        <color theme="1"/>
        <rFont val="Calibri"/>
        <family val="2"/>
        <charset val="238"/>
        <scheme val="minor"/>
      </rPr>
      <t xml:space="preserve"> [kN/m</t>
    </r>
    <r>
      <rPr>
        <sz val="11"/>
        <color theme="1"/>
        <rFont val="Calibri"/>
        <family val="2"/>
        <charset val="238"/>
      </rPr>
      <t>²</t>
    </r>
    <r>
      <rPr>
        <sz val="11"/>
        <color theme="1"/>
        <rFont val="Calibri"/>
        <family val="2"/>
        <charset val="238"/>
        <scheme val="minor"/>
      </rPr>
      <t>]</t>
    </r>
  </si>
  <si>
    <r>
      <t>Wartość charakterystyczna ciśnienia wiatru w</t>
    </r>
    <r>
      <rPr>
        <sz val="8"/>
        <color theme="1"/>
        <rFont val="Calibri"/>
        <family val="2"/>
        <charset val="238"/>
        <scheme val="minor"/>
      </rPr>
      <t>e</t>
    </r>
    <r>
      <rPr>
        <sz val="11"/>
        <color theme="1"/>
        <rFont val="Calibri"/>
        <family val="2"/>
        <charset val="238"/>
        <scheme val="minor"/>
      </rPr>
      <t xml:space="preserve"> [kN/m</t>
    </r>
    <r>
      <rPr>
        <sz val="11"/>
        <color theme="1"/>
        <rFont val="Calibri"/>
        <family val="2"/>
        <charset val="238"/>
      </rPr>
      <t>²</t>
    </r>
    <r>
      <rPr>
        <sz val="11"/>
        <color theme="1"/>
        <rFont val="Calibri"/>
        <family val="2"/>
        <charset val="238"/>
        <scheme val="minor"/>
      </rPr>
      <t>]</t>
    </r>
  </si>
  <si>
    <t>→</t>
  </si>
  <si>
    <t>Kategoria terenu (0, I, II, III albo IV) dla poszczególnych kierunków</t>
  </si>
  <si>
    <r>
      <t xml:space="preserve">Kąt odchylenia osi budynku od kierunku północnego, </t>
    </r>
    <r>
      <rPr>
        <sz val="11"/>
        <color theme="1"/>
        <rFont val="Calibri"/>
        <family val="2"/>
        <charset val="238"/>
      </rPr>
      <t>α [°</t>
    </r>
    <r>
      <rPr>
        <sz val="11"/>
        <color theme="1"/>
        <rFont val="Calibri"/>
        <family val="2"/>
        <charset val="238"/>
        <scheme val="minor"/>
      </rPr>
      <t>]</t>
    </r>
  </si>
  <si>
    <r>
      <rPr>
        <b/>
        <sz val="11"/>
        <color theme="1"/>
        <rFont val="Calibri"/>
        <family val="2"/>
        <charset val="238"/>
        <scheme val="minor"/>
      </rPr>
      <t>ściana I</t>
    </r>
    <r>
      <rPr>
        <sz val="11"/>
        <color theme="1"/>
        <rFont val="Calibri"/>
        <family val="2"/>
        <charset val="238"/>
        <scheme val="minor"/>
      </rPr>
      <t xml:space="preserve"> - wiatr 2, wiatr 3 i wiatr 4,    </t>
    </r>
    <r>
      <rPr>
        <b/>
        <sz val="11"/>
        <color theme="1"/>
        <rFont val="Calibri"/>
        <family val="2"/>
        <charset val="238"/>
        <scheme val="minor"/>
      </rPr>
      <t>ściana II</t>
    </r>
    <r>
      <rPr>
        <sz val="11"/>
        <color theme="1"/>
        <rFont val="Calibri"/>
        <family val="2"/>
        <charset val="238"/>
        <scheme val="minor"/>
      </rPr>
      <t xml:space="preserve"> - wiatr 1, wiatr 3 i wiatr 4, </t>
    </r>
  </si>
  <si>
    <r>
      <rPr>
        <b/>
        <sz val="11"/>
        <color theme="1"/>
        <rFont val="Calibri"/>
        <family val="2"/>
        <charset val="238"/>
        <scheme val="minor"/>
      </rPr>
      <t>ściana III</t>
    </r>
    <r>
      <rPr>
        <sz val="11"/>
        <color theme="1"/>
        <rFont val="Calibri"/>
        <family val="2"/>
        <charset val="238"/>
        <scheme val="minor"/>
      </rPr>
      <t xml:space="preserve"> - wiatr 1, wiatr2 i wiatr 4,    </t>
    </r>
    <r>
      <rPr>
        <b/>
        <sz val="11"/>
        <color theme="1"/>
        <rFont val="Calibri"/>
        <family val="2"/>
        <charset val="238"/>
        <scheme val="minor"/>
      </rPr>
      <t>ściana IV</t>
    </r>
    <r>
      <rPr>
        <sz val="11"/>
        <color theme="1"/>
        <rFont val="Calibri"/>
        <family val="2"/>
        <charset val="238"/>
        <scheme val="minor"/>
      </rPr>
      <t xml:space="preserve"> - wiatr 1, wiatr 2 i wiatr 3</t>
    </r>
  </si>
  <si>
    <t>Należy wybrać wartości maksymalne w poszczególnych polach każdej ściany, z uwzględnieniem kierunków wiatru:</t>
  </si>
  <si>
    <t>Uwaga! Na każdej ścianie, przy jednym kierunku wiatru mogą występować trzy pola (A, B, C), dwa pola (A, B) albo jedno pole (A). Określenie pól, zgodnie z normą PN EN 1991-1-4:2008, podano w zakładce "Pola ścian".</t>
  </si>
  <si>
    <t>UWAGA! Wymiary rzutu budynku i szerokości pól ściany nie są pokazywane w skali.</t>
  </si>
  <si>
    <t>Tablica szerokości pól ściany</t>
  </si>
  <si>
    <t>Ściana IV</t>
  </si>
  <si>
    <t>Ściana I</t>
  </si>
  <si>
    <t>Ściana II</t>
  </si>
  <si>
    <t>Ściana III</t>
  </si>
  <si>
    <t>a</t>
  </si>
  <si>
    <t>b</t>
  </si>
  <si>
    <t>c</t>
  </si>
  <si>
    <t>e (prost)</t>
  </si>
  <si>
    <t>Tablica obciążenia wiatrem</t>
  </si>
  <si>
    <t>A</t>
  </si>
  <si>
    <t>B</t>
  </si>
  <si>
    <t>C</t>
  </si>
  <si>
    <t>E</t>
  </si>
  <si>
    <t>Układy pól obciążenia na ścianach</t>
  </si>
  <si>
    <t>ŚCIANA IV</t>
  </si>
  <si>
    <t>ŚCIANA I</t>
  </si>
  <si>
    <t>ŚCIANA II</t>
  </si>
  <si>
    <t>ŚCIANA III</t>
  </si>
  <si>
    <t>A1</t>
  </si>
  <si>
    <t>A2</t>
  </si>
  <si>
    <t>A3</t>
  </si>
  <si>
    <t>A4</t>
  </si>
  <si>
    <t>E2</t>
  </si>
  <si>
    <t>E3</t>
  </si>
  <si>
    <t>E4</t>
  </si>
  <si>
    <t>E1</t>
  </si>
  <si>
    <t>A1-A3</t>
  </si>
  <si>
    <t>A2-A4</t>
  </si>
  <si>
    <t>A1-B1</t>
  </si>
  <si>
    <t>A2-B2</t>
  </si>
  <si>
    <t>A1-E2</t>
  </si>
  <si>
    <t>A2-E3</t>
  </si>
  <si>
    <t>A1-E4</t>
  </si>
  <si>
    <t>A2-E1</t>
  </si>
  <si>
    <t>B3-A3</t>
  </si>
  <si>
    <t>B4-A4</t>
  </si>
  <si>
    <t>E2-A3</t>
  </si>
  <si>
    <t>E3-A4</t>
  </si>
  <si>
    <t>E4-A3</t>
  </si>
  <si>
    <t>E1-A4</t>
  </si>
  <si>
    <t>A1-B1-C1</t>
  </si>
  <si>
    <t>A2-B2-C2</t>
  </si>
  <si>
    <t>A1-B1-A3</t>
  </si>
  <si>
    <t>A2-B2-A4</t>
  </si>
  <si>
    <t>A1-B3-A3</t>
  </si>
  <si>
    <t>A2-B4-A4</t>
  </si>
  <si>
    <t>A1-B1-E2</t>
  </si>
  <si>
    <t>A2-B2-E3</t>
  </si>
  <si>
    <t>A1-B1-E4</t>
  </si>
  <si>
    <t>A2-B2-E1</t>
  </si>
  <si>
    <t>A1-E2-A3</t>
  </si>
  <si>
    <t>A2-E3-A4</t>
  </si>
  <si>
    <t>A1-E4-A3</t>
  </si>
  <si>
    <t>A2-E1-A4</t>
  </si>
  <si>
    <t>C3-B3-A3</t>
  </si>
  <si>
    <t>C4-B4-A4</t>
  </si>
  <si>
    <t>E2-B3-A3</t>
  </si>
  <si>
    <t>E3-B4-A4</t>
  </si>
  <si>
    <t>E4-B3-A3</t>
  </si>
  <si>
    <t>E1-B4-A4</t>
  </si>
  <si>
    <t>A1-B1-C1-A3</t>
  </si>
  <si>
    <t>A2-B2-C2-A4</t>
  </si>
  <si>
    <t>A1-B1-B3-A3</t>
  </si>
  <si>
    <t>A2-B2-B4-A4</t>
  </si>
  <si>
    <t>A1-C3-B3-A3</t>
  </si>
  <si>
    <t>A2-C4-B4-A4</t>
  </si>
  <si>
    <t>A1-B1-E2-A3</t>
  </si>
  <si>
    <t>A2-B2-E3-A4</t>
  </si>
  <si>
    <t>A1-B1-E4-A3</t>
  </si>
  <si>
    <t>A2-B2-E1-A4</t>
  </si>
  <si>
    <t>A1-E2-B3-A3</t>
  </si>
  <si>
    <t>A2-E3-B4-A4</t>
  </si>
  <si>
    <t>A1-E4-B3-A3</t>
  </si>
  <si>
    <t>A2-E1-B4-A4</t>
  </si>
  <si>
    <t>A1-B1-C1-B3-A3</t>
  </si>
  <si>
    <t>A2-B2-C2-B4-A4</t>
  </si>
  <si>
    <t>A1-B1-C3-B3-A3</t>
  </si>
  <si>
    <t>A2-B2-C4-B4-A4</t>
  </si>
  <si>
    <t>A1-B1-E2-B3-A3</t>
  </si>
  <si>
    <t>A2-B2-E3-B4-A4</t>
  </si>
  <si>
    <t>A1-B1-E4-B3-A3</t>
  </si>
  <si>
    <t>A2-B2-E1-B4-A4</t>
  </si>
  <si>
    <t>Występujący przypadek</t>
  </si>
  <si>
    <t>m</t>
  </si>
  <si>
    <t>kN/m2</t>
  </si>
  <si>
    <t>Efektywna wysokość odniesienia, z [m]</t>
  </si>
  <si>
    <r>
      <t xml:space="preserve">Nośność charakterystyczna pojedynczego łącznika na </t>
    </r>
    <r>
      <rPr>
        <sz val="11"/>
        <color rgb="FFFF0000"/>
        <rFont val="Calibri"/>
        <family val="2"/>
        <charset val="238"/>
        <scheme val="minor"/>
      </rPr>
      <t>wyrywanie</t>
    </r>
    <r>
      <rPr>
        <sz val="11"/>
        <color theme="1"/>
        <rFont val="Calibri"/>
        <family val="2"/>
        <charset val="238"/>
        <scheme val="minor"/>
      </rPr>
      <t xml:space="preserve"> z podłoża </t>
    </r>
    <r>
      <rPr>
        <sz val="11"/>
        <color rgb="FFFF0000"/>
        <rFont val="Calibri"/>
        <family val="2"/>
        <charset val="238"/>
        <scheme val="minor"/>
      </rPr>
      <t>N</t>
    </r>
    <r>
      <rPr>
        <sz val="8"/>
        <color rgb="FFFF0000"/>
        <rFont val="Calibri"/>
        <family val="2"/>
        <charset val="238"/>
        <scheme val="minor"/>
      </rPr>
      <t>R,k</t>
    </r>
    <r>
      <rPr>
        <sz val="11"/>
        <color theme="1"/>
        <rFont val="Calibri"/>
        <family val="2"/>
        <charset val="238"/>
        <scheme val="minor"/>
      </rPr>
      <t>, kN</t>
    </r>
  </si>
  <si>
    <t>równa wysokości budynku</t>
  </si>
  <si>
    <t>inna - wpisz tu wartość</t>
  </si>
  <si>
    <t>Podział Polski na strefy obciążenia wiatrem wg PN-EN 1991-1-4:2008</t>
  </si>
  <si>
    <t>Współczynnik kierunkowy wg PN-EN 1991-1-4:2008</t>
  </si>
  <si>
    <t>Graficzne przedstawienie wyników obliczeń oddziaływania wiatru</t>
  </si>
  <si>
    <r>
      <rPr>
        <b/>
        <sz val="11"/>
        <color theme="1"/>
        <rFont val="Calibri"/>
        <family val="2"/>
        <charset val="238"/>
        <scheme val="minor"/>
      </rPr>
      <t>Kategoria terenu IV</t>
    </r>
    <r>
      <rPr>
        <sz val="11"/>
        <color theme="1"/>
        <rFont val="Calibri"/>
        <family val="2"/>
        <charset val="238"/>
        <scheme val="minor"/>
      </rPr>
      <t xml:space="preserve">
Obszary, na których przynajmniej 15 % powierzchni pokrywają budynki o średniej wysokości przekraczającej 15 m
</t>
    </r>
  </si>
  <si>
    <r>
      <t>Wysokość h</t>
    </r>
    <r>
      <rPr>
        <vertAlign val="subscript"/>
        <sz val="11"/>
        <color theme="1"/>
        <rFont val="Calibri"/>
        <family val="2"/>
        <charset val="238"/>
        <scheme val="minor"/>
      </rPr>
      <t>dis</t>
    </r>
    <r>
      <rPr>
        <sz val="11"/>
        <color theme="1"/>
        <rFont val="Calibri"/>
        <family val="2"/>
        <charset val="238"/>
        <scheme val="minor"/>
      </rPr>
      <t xml:space="preserve"> można wyznaczyć z poniższych zależności (patrz rysunek):</t>
    </r>
  </si>
  <si>
    <r>
      <t xml:space="preserve">x </t>
    </r>
    <r>
      <rPr>
        <sz val="11"/>
        <color theme="1"/>
        <rFont val="Calibri"/>
        <family val="2"/>
        <charset val="238"/>
      </rPr>
      <t>≤ 2 ∙ h</t>
    </r>
    <r>
      <rPr>
        <vertAlign val="subscript"/>
        <sz val="11"/>
        <color theme="1"/>
        <rFont val="Calibri"/>
        <family val="2"/>
        <charset val="238"/>
      </rPr>
      <t>ave</t>
    </r>
  </si>
  <si>
    <r>
      <t>h</t>
    </r>
    <r>
      <rPr>
        <vertAlign val="subscript"/>
        <sz val="11"/>
        <color theme="1"/>
        <rFont val="Calibri"/>
        <family val="2"/>
        <charset val="238"/>
        <scheme val="minor"/>
      </rPr>
      <t>dis</t>
    </r>
    <r>
      <rPr>
        <sz val="11"/>
        <color theme="1"/>
        <rFont val="Calibri"/>
        <family val="2"/>
        <charset val="238"/>
        <scheme val="minor"/>
      </rPr>
      <t xml:space="preserve"> jest wartością mniejszą z dwóch: 0,8 </t>
    </r>
    <r>
      <rPr>
        <sz val="11"/>
        <color theme="1"/>
        <rFont val="Calibri"/>
        <family val="2"/>
        <charset val="238"/>
      </rPr>
      <t>∙ h</t>
    </r>
    <r>
      <rPr>
        <vertAlign val="subscript"/>
        <sz val="11"/>
        <color theme="1"/>
        <rFont val="Calibri"/>
        <family val="2"/>
        <charset val="238"/>
      </rPr>
      <t>ave</t>
    </r>
    <r>
      <rPr>
        <sz val="11"/>
        <color theme="1"/>
        <rFont val="Calibri"/>
        <family val="2"/>
        <charset val="238"/>
      </rPr>
      <t xml:space="preserve">  albo  0,6 ∙ h</t>
    </r>
  </si>
  <si>
    <r>
      <t xml:space="preserve">2 </t>
    </r>
    <r>
      <rPr>
        <sz val="11"/>
        <color theme="1"/>
        <rFont val="Calibri"/>
        <family val="2"/>
        <charset val="238"/>
      </rPr>
      <t>∙ h</t>
    </r>
    <r>
      <rPr>
        <vertAlign val="subscript"/>
        <sz val="11"/>
        <color theme="1"/>
        <rFont val="Calibri"/>
        <family val="2"/>
        <charset val="238"/>
      </rPr>
      <t>ave</t>
    </r>
    <r>
      <rPr>
        <sz val="11"/>
        <color theme="1"/>
        <rFont val="Calibri"/>
        <family val="2"/>
        <charset val="238"/>
      </rPr>
      <t xml:space="preserve"> &lt; x &lt; 6 ∙ h</t>
    </r>
    <r>
      <rPr>
        <vertAlign val="subscript"/>
        <sz val="11"/>
        <color theme="1"/>
        <rFont val="Calibri"/>
        <family val="2"/>
        <charset val="238"/>
      </rPr>
      <t>ave</t>
    </r>
  </si>
  <si>
    <r>
      <t>h</t>
    </r>
    <r>
      <rPr>
        <vertAlign val="subscript"/>
        <sz val="11"/>
        <color theme="1"/>
        <rFont val="Calibri"/>
        <family val="2"/>
        <charset val="238"/>
        <scheme val="minor"/>
      </rPr>
      <t>dis</t>
    </r>
    <r>
      <rPr>
        <sz val="11"/>
        <color theme="1"/>
        <rFont val="Calibri"/>
        <family val="2"/>
        <charset val="238"/>
        <scheme val="minor"/>
      </rPr>
      <t xml:space="preserve"> jest wartością mniejszą z dwóch: (1,2 </t>
    </r>
    <r>
      <rPr>
        <sz val="11"/>
        <color theme="1"/>
        <rFont val="Calibri"/>
        <family val="2"/>
        <charset val="238"/>
      </rPr>
      <t>∙ h</t>
    </r>
    <r>
      <rPr>
        <vertAlign val="subscript"/>
        <sz val="11"/>
        <color theme="1"/>
        <rFont val="Calibri"/>
        <family val="2"/>
        <charset val="238"/>
      </rPr>
      <t>ave</t>
    </r>
    <r>
      <rPr>
        <sz val="11"/>
        <color theme="1"/>
        <rFont val="Calibri"/>
        <family val="2"/>
        <charset val="238"/>
      </rPr>
      <t xml:space="preserve"> - 0,2 ∙</t>
    </r>
    <r>
      <rPr>
        <sz val="11"/>
        <color theme="1"/>
        <rFont val="Calibri"/>
        <family val="2"/>
        <charset val="238"/>
        <scheme val="minor"/>
      </rPr>
      <t xml:space="preserve"> x)</t>
    </r>
    <r>
      <rPr>
        <sz val="11"/>
        <color theme="1"/>
        <rFont val="Calibri"/>
        <family val="2"/>
        <charset val="238"/>
      </rPr>
      <t xml:space="preserve">  albo  0,6 ∙ h</t>
    </r>
  </si>
  <si>
    <r>
      <t xml:space="preserve">x </t>
    </r>
    <r>
      <rPr>
        <sz val="11"/>
        <color theme="1"/>
        <rFont val="Calibri"/>
        <family val="2"/>
        <charset val="238"/>
      </rPr>
      <t>≥</t>
    </r>
    <r>
      <rPr>
        <sz val="11"/>
        <color theme="1"/>
        <rFont val="Calibri"/>
        <family val="2"/>
        <charset val="238"/>
        <scheme val="minor"/>
      </rPr>
      <t xml:space="preserve"> 6 ∙ h</t>
    </r>
    <r>
      <rPr>
        <vertAlign val="subscript"/>
        <sz val="11"/>
        <color theme="1"/>
        <rFont val="Calibri"/>
        <family val="2"/>
        <charset val="238"/>
        <scheme val="minor"/>
      </rPr>
      <t>ave</t>
    </r>
  </si>
  <si>
    <r>
      <t>h</t>
    </r>
    <r>
      <rPr>
        <vertAlign val="subscript"/>
        <sz val="11"/>
        <color theme="1"/>
        <rFont val="Calibri"/>
        <family val="2"/>
        <charset val="238"/>
        <scheme val="minor"/>
      </rPr>
      <t>dis</t>
    </r>
    <r>
      <rPr>
        <sz val="11"/>
        <color theme="1"/>
        <rFont val="Calibri"/>
        <family val="2"/>
        <charset val="238"/>
        <scheme val="minor"/>
      </rPr>
      <t xml:space="preserve"> = 0</t>
    </r>
  </si>
  <si>
    <r>
      <t>Przy braku dokładniejszych informacji średnią wysokość przeszkód w terenie kategorii IV można przyjąć jako równą h</t>
    </r>
    <r>
      <rPr>
        <vertAlign val="subscript"/>
        <sz val="11"/>
        <color theme="1"/>
        <rFont val="Calibri"/>
        <family val="2"/>
        <charset val="238"/>
        <scheme val="minor"/>
      </rPr>
      <t>ave</t>
    </r>
    <r>
      <rPr>
        <sz val="11"/>
        <color theme="1"/>
        <rFont val="Calibri"/>
        <family val="2"/>
        <charset val="238"/>
        <scheme val="minor"/>
      </rPr>
      <t xml:space="preserve"> = 15 m. </t>
    </r>
  </si>
  <si>
    <r>
      <t>Warunki te zależą od kierunku wiatru; wartości  h</t>
    </r>
    <r>
      <rPr>
        <vertAlign val="subscript"/>
        <sz val="11"/>
        <color theme="1"/>
        <rFont val="Calibri"/>
        <family val="2"/>
        <charset val="238"/>
        <scheme val="minor"/>
      </rPr>
      <t>ave</t>
    </r>
    <r>
      <rPr>
        <sz val="11"/>
        <color theme="1"/>
        <rFont val="Calibri"/>
        <family val="2"/>
        <charset val="238"/>
        <scheme val="minor"/>
      </rPr>
      <t xml:space="preserve"> oraz x należy zatem ustalać w sektorach  o rozwartości 30°.</t>
    </r>
  </si>
  <si>
    <t>Obliczenia wysokości przemieszczenia</t>
  </si>
  <si>
    <t>Wysokość budynku h, m</t>
  </si>
  <si>
    <r>
      <t>Wysokość przeszkód h</t>
    </r>
    <r>
      <rPr>
        <sz val="8"/>
        <color theme="1"/>
        <rFont val="Calibri"/>
        <family val="2"/>
        <charset val="238"/>
        <scheme val="minor"/>
      </rPr>
      <t>ave</t>
    </r>
    <r>
      <rPr>
        <sz val="11"/>
        <color theme="1"/>
        <rFont val="Calibri"/>
        <family val="2"/>
        <charset val="238"/>
        <scheme val="minor"/>
      </rPr>
      <t>, m</t>
    </r>
  </si>
  <si>
    <t>Odległość x, m</t>
  </si>
  <si>
    <r>
      <t>Wysokość przemieszczenia poziomu zerowego h</t>
    </r>
    <r>
      <rPr>
        <b/>
        <sz val="8"/>
        <color theme="1"/>
        <rFont val="Calibri"/>
        <family val="2"/>
        <charset val="238"/>
        <scheme val="minor"/>
      </rPr>
      <t>dis</t>
    </r>
    <r>
      <rPr>
        <b/>
        <sz val="11"/>
        <color theme="1"/>
        <rFont val="Calibri"/>
        <family val="2"/>
        <charset val="238"/>
        <scheme val="minor"/>
      </rPr>
      <t>, m</t>
    </r>
  </si>
  <si>
    <r>
      <t>Wysokość przemieszczenia h</t>
    </r>
    <r>
      <rPr>
        <b/>
        <vertAlign val="subscript"/>
        <sz val="16"/>
        <color theme="1"/>
        <rFont val="Calibri"/>
        <family val="2"/>
        <charset val="238"/>
        <scheme val="minor"/>
      </rPr>
      <t>dis</t>
    </r>
    <r>
      <rPr>
        <b/>
        <sz val="16"/>
        <color theme="1"/>
        <rFont val="Calibri"/>
        <family val="2"/>
        <charset val="238"/>
        <scheme val="minor"/>
      </rPr>
      <t xml:space="preserve"> wg PN-EN 1991-1-4:2008</t>
    </r>
  </si>
  <si>
    <t>Określenie kąta odchylenia wybranej osi budynku od kierunku północnego i przypadki (kierunki) oddziaływania wiatru</t>
  </si>
  <si>
    <r>
      <t xml:space="preserve">Obliczanie oddziaływania wiatru </t>
    </r>
    <r>
      <rPr>
        <b/>
        <u/>
        <sz val="16"/>
        <color theme="1"/>
        <rFont val="Calibri"/>
        <family val="2"/>
        <charset val="238"/>
        <scheme val="minor"/>
      </rPr>
      <t>w</t>
    </r>
    <r>
      <rPr>
        <b/>
        <u/>
        <sz val="11"/>
        <color theme="1"/>
        <rFont val="Calibri"/>
        <family val="2"/>
        <charset val="238"/>
        <scheme val="minor"/>
      </rPr>
      <t>e,d</t>
    </r>
    <r>
      <rPr>
        <b/>
        <sz val="16"/>
        <color theme="1"/>
        <rFont val="Calibri"/>
        <family val="2"/>
        <charset val="238"/>
        <scheme val="minor"/>
      </rPr>
      <t xml:space="preserve">  według PN EN 1991-1-4:2008</t>
    </r>
  </si>
  <si>
    <r>
      <rPr>
        <b/>
        <sz val="11"/>
        <color theme="1"/>
        <rFont val="Calibri"/>
        <family val="2"/>
        <charset val="238"/>
        <scheme val="minor"/>
      </rPr>
      <t>Wysokość przemieszczenia</t>
    </r>
    <r>
      <rPr>
        <sz val="11"/>
        <color theme="1"/>
        <rFont val="Calibri"/>
        <family val="2"/>
        <charset val="238"/>
        <scheme val="minor"/>
      </rPr>
      <t xml:space="preserve">
W terenie kategorii IV budynki i inne przeszkody usytuowane blisko siebie powodują, że wiatr zachowuje się tak, jak gdyby poziom terenu został podniesiony na wysokość h</t>
    </r>
    <r>
      <rPr>
        <vertAlign val="subscript"/>
        <sz val="11"/>
        <color theme="1"/>
        <rFont val="Calibri"/>
        <family val="2"/>
        <charset val="238"/>
        <scheme val="minor"/>
      </rPr>
      <t>dis</t>
    </r>
    <r>
      <rPr>
        <sz val="11"/>
        <color theme="1"/>
        <rFont val="Calibri"/>
        <family val="2"/>
        <charset val="238"/>
        <scheme val="minor"/>
      </rPr>
      <t>, nazywaną wysokością przemieszczenia.</t>
    </r>
  </si>
  <si>
    <t>Ściana II i ściana IV</t>
  </si>
  <si>
    <t>Ściana I i ściana III</t>
  </si>
  <si>
    <r>
      <t>Wartość obliczeniowa ssania wiatru w</t>
    </r>
    <r>
      <rPr>
        <b/>
        <sz val="8"/>
        <color theme="1"/>
        <rFont val="Calibri"/>
        <family val="2"/>
        <charset val="238"/>
        <scheme val="minor"/>
      </rPr>
      <t>e,d</t>
    </r>
    <r>
      <rPr>
        <b/>
        <sz val="11"/>
        <color theme="1"/>
        <rFont val="Calibri"/>
        <family val="2"/>
        <charset val="238"/>
        <scheme val="minor"/>
      </rPr>
      <t xml:space="preserve"> [kN/m</t>
    </r>
    <r>
      <rPr>
        <b/>
        <sz val="11"/>
        <color theme="1"/>
        <rFont val="Calibri"/>
        <family val="2"/>
        <charset val="238"/>
      </rPr>
      <t>²</t>
    </r>
    <r>
      <rPr>
        <b/>
        <sz val="11"/>
        <color theme="1"/>
        <rFont val="Calibri"/>
        <family val="2"/>
        <charset val="238"/>
        <scheme val="minor"/>
      </rPr>
      <t>]</t>
    </r>
  </si>
  <si>
    <r>
      <t>Wartość obl. ssania wiatru w polach ściany o długości d, w</t>
    </r>
    <r>
      <rPr>
        <b/>
        <sz val="8"/>
        <color theme="1"/>
        <rFont val="Calibri"/>
        <family val="2"/>
        <charset val="238"/>
        <scheme val="minor"/>
      </rPr>
      <t>e,d</t>
    </r>
    <r>
      <rPr>
        <b/>
        <sz val="11"/>
        <color theme="1"/>
        <rFont val="Calibri"/>
        <family val="2"/>
        <charset val="238"/>
        <scheme val="minor"/>
      </rPr>
      <t xml:space="preserve"> [kN/m</t>
    </r>
    <r>
      <rPr>
        <b/>
        <sz val="11"/>
        <color theme="1"/>
        <rFont val="Calibri"/>
        <family val="2"/>
        <charset val="238"/>
      </rPr>
      <t>²</t>
    </r>
    <r>
      <rPr>
        <b/>
        <sz val="11"/>
        <color theme="1"/>
        <rFont val="Calibri"/>
        <family val="2"/>
        <charset val="238"/>
        <scheme val="minor"/>
      </rPr>
      <t>]</t>
    </r>
  </si>
  <si>
    <r>
      <t>Liczba łączników na m</t>
    </r>
    <r>
      <rPr>
        <sz val="11"/>
        <color theme="1"/>
        <rFont val="Calibri"/>
        <family val="2"/>
        <charset val="238"/>
      </rPr>
      <t>²</t>
    </r>
    <r>
      <rPr>
        <sz val="11"/>
        <color theme="1"/>
        <rFont val="Calibri"/>
        <family val="2"/>
        <charset val="238"/>
        <scheme val="minor"/>
      </rPr>
      <t xml:space="preserve">, </t>
    </r>
    <r>
      <rPr>
        <sz val="11"/>
        <color rgb="FFFF0000"/>
        <rFont val="Calibri"/>
        <family val="2"/>
        <charset val="238"/>
        <scheme val="minor"/>
      </rPr>
      <t>n</t>
    </r>
    <r>
      <rPr>
        <sz val="11"/>
        <color theme="1"/>
        <rFont val="Calibri"/>
        <family val="2"/>
        <charset val="238"/>
        <scheme val="minor"/>
      </rPr>
      <t>, szt</t>
    </r>
  </si>
  <si>
    <r>
      <t>Wysokość odniesienia, z</t>
    </r>
    <r>
      <rPr>
        <sz val="8"/>
        <rFont val="Calibri"/>
        <family val="2"/>
        <charset val="238"/>
        <scheme val="minor"/>
      </rPr>
      <t>e</t>
    </r>
    <r>
      <rPr>
        <sz val="11"/>
        <rFont val="Calibri"/>
        <family val="2"/>
        <charset val="238"/>
        <scheme val="minor"/>
      </rPr>
      <t xml:space="preserve"> [m]</t>
    </r>
  </si>
  <si>
    <r>
      <t>Wysokość przemieszczenia, h</t>
    </r>
    <r>
      <rPr>
        <sz val="8"/>
        <rFont val="Calibri"/>
        <family val="2"/>
        <charset val="238"/>
        <scheme val="minor"/>
      </rPr>
      <t>dis</t>
    </r>
    <r>
      <rPr>
        <sz val="11"/>
        <rFont val="Calibri"/>
        <family val="2"/>
        <charset val="238"/>
        <scheme val="minor"/>
      </rPr>
      <t xml:space="preserve"> [m]</t>
    </r>
  </si>
  <si>
    <r>
      <rPr>
        <b/>
        <u/>
        <sz val="16"/>
        <color theme="1"/>
        <rFont val="Calibri"/>
        <family val="2"/>
        <charset val="238"/>
        <scheme val="minor"/>
      </rPr>
      <t>n</t>
    </r>
    <r>
      <rPr>
        <b/>
        <sz val="16"/>
        <color theme="1"/>
        <rFont val="Calibri"/>
        <family val="2"/>
        <charset val="238"/>
        <scheme val="minor"/>
      </rPr>
      <t xml:space="preserve">   </t>
    </r>
    <r>
      <rPr>
        <b/>
        <sz val="16"/>
        <color theme="1"/>
        <rFont val="Calibri"/>
        <family val="2"/>
        <charset val="238"/>
      </rPr>
      <t xml:space="preserve">≥   </t>
    </r>
    <r>
      <rPr>
        <b/>
        <u/>
        <sz val="16"/>
        <color theme="1"/>
        <rFont val="Calibri"/>
        <family val="2"/>
        <charset val="238"/>
      </rPr>
      <t>n</t>
    </r>
    <r>
      <rPr>
        <b/>
        <u/>
        <sz val="11"/>
        <color theme="1"/>
        <rFont val="Calibri"/>
        <family val="2"/>
        <charset val="238"/>
      </rPr>
      <t>min</t>
    </r>
  </si>
  <si>
    <t>oraz</t>
  </si>
  <si>
    <r>
      <t>Przyjęta wysokość odniesienia, z</t>
    </r>
    <r>
      <rPr>
        <sz val="8"/>
        <rFont val="Calibri"/>
        <family val="2"/>
        <charset val="238"/>
        <scheme val="minor"/>
      </rPr>
      <t>e</t>
    </r>
    <r>
      <rPr>
        <sz val="11"/>
        <rFont val="Calibri"/>
        <family val="2"/>
        <charset val="238"/>
        <scheme val="minor"/>
      </rPr>
      <t xml:space="preserve"> [m]</t>
    </r>
  </si>
  <si>
    <t>wartość zależna od kierunku</t>
  </si>
  <si>
    <r>
      <t>Współczynnik kierunkowy obliczony wg NA, c</t>
    </r>
    <r>
      <rPr>
        <sz val="8"/>
        <rFont val="Arial"/>
        <family val="2"/>
        <charset val="238"/>
      </rPr>
      <t>dir</t>
    </r>
  </si>
  <si>
    <t>Współczynnik kierunkowy według NA albo EN?</t>
  </si>
  <si>
    <r>
      <t>Współczynnik kierunkowy przyjęty do obliczeń, c</t>
    </r>
    <r>
      <rPr>
        <sz val="8"/>
        <color theme="1"/>
        <rFont val="Calibri"/>
        <family val="2"/>
        <charset val="238"/>
        <scheme val="minor"/>
      </rPr>
      <t>dir</t>
    </r>
  </si>
  <si>
    <t>wartość stała maksymalna</t>
  </si>
  <si>
    <t>Na granicy stref 1 i 2, w pasach o szerokości 10 km po obu stronach granicy, można stosować wartość średnią z obu stref.</t>
  </si>
  <si>
    <t>Granica 1 i 2</t>
  </si>
  <si>
    <t>Strefa obciążenia wiatrem</t>
  </si>
  <si>
    <r>
      <t>Mapa podziału Polski na strefy wartości podstawowej bazowej predkości wiatru v</t>
    </r>
    <r>
      <rPr>
        <b/>
        <sz val="8"/>
        <color theme="1"/>
        <rFont val="Calibri"/>
        <family val="2"/>
        <charset val="238"/>
        <scheme val="minor"/>
      </rPr>
      <t>b,0</t>
    </r>
  </si>
  <si>
    <t>1 przy granicy z 2</t>
  </si>
  <si>
    <t>2 przy granicy z 1</t>
  </si>
  <si>
    <t>Charakterystyka terenu</t>
  </si>
  <si>
    <t>Kategorie terenu wg PN-EN 1991-1-4:2008</t>
  </si>
  <si>
    <t>W programie zostały ponadto zawarte materiały informacyjne i pomocnicze z zakresu ustalania oddziaływania wiatru, umożliwiające prawidłowe zinterpretowanie wprowadzanych danych obliczeniowych i otrzymanych wyników.</t>
  </si>
  <si>
    <t>Program nie zawiera kalkulatora służącego do wyznaczania wartości współczynnika rzeźby terenu (orografii). W tym względzie można posłużyć się na przykład arkuszami kalkulacyjnymi dołączonymi do książki: J.A. Żurański, M. Gaczek, Projektowanie według Eurokodów -- Oddziaływania klimatyczne na konstrukcje budowlane według Eurokodu 1 -- Komentarze z przykładami obliczeń; Instytut Techniki Budowlanej, Warszawa 2011.</t>
  </si>
  <si>
    <t>Arkusze kalkulacyjne zawarte w programie, tylko częściowo zostały zabezpieczone przed wprowadzaniem niewłaściwych danych, dlatego też wykonując obliczenia należy mieć pełną świadomość przyjmowanych wartości.</t>
  </si>
  <si>
    <t>Oznaczenia pól na ścianach pionowych budynków na rzucie prostokąta, wg PN-EN 1991-1-4:2008</t>
  </si>
  <si>
    <t>Autor programu nie ponosi jakiejkolwiek odpowiedzialności za ewentualne szkody wynikające z tytułu wykorzystania programu.</t>
  </si>
  <si>
    <t>Autor programu dołożył wszelkich starań i sprawdził prawidłowość działania programu w wielu sytuacjach obliczeniowych. Nie można jednak wykluczyć, że przy określonym zestawie wprowadzonych wartości, wystąpi w obliczeniach nie wykryty wcześniej błąd. Dotyczyć to może zwłaszcza graficznego przedstawienia wyników obliczania oddziaływania wiatru. Z tego względu, w odpowiednich arkuszach pozostawiono nie ukryte pośrednie etapy obliczeniowe. Zaleca się ich sprawdzanie, zgodnie z zawartymi tam uwagami.</t>
  </si>
  <si>
    <r>
      <t>Nośność obliczeniowa łączników na wyrywanie z podłoża R</t>
    </r>
    <r>
      <rPr>
        <b/>
        <sz val="8"/>
        <color theme="1"/>
        <rFont val="Calibri"/>
        <family val="2"/>
        <charset val="238"/>
        <scheme val="minor"/>
      </rPr>
      <t>d,f</t>
    </r>
    <r>
      <rPr>
        <b/>
        <sz val="11"/>
        <color theme="1"/>
        <rFont val="Calibri"/>
        <family val="2"/>
        <charset val="238"/>
        <scheme val="minor"/>
      </rPr>
      <t>, kN/m</t>
    </r>
    <r>
      <rPr>
        <b/>
        <sz val="11"/>
        <color theme="1"/>
        <rFont val="Calibri"/>
        <family val="2"/>
        <charset val="238"/>
      </rPr>
      <t>²</t>
    </r>
  </si>
  <si>
    <r>
      <t>Nośność obliczeniowa systemu ETICS na przeciąganie R</t>
    </r>
    <r>
      <rPr>
        <b/>
        <sz val="8"/>
        <color theme="1"/>
        <rFont val="Calibri"/>
        <family val="2"/>
        <charset val="238"/>
        <scheme val="minor"/>
      </rPr>
      <t>d,ETICS</t>
    </r>
    <r>
      <rPr>
        <b/>
        <sz val="11"/>
        <color theme="1"/>
        <rFont val="Calibri"/>
        <family val="2"/>
        <charset val="238"/>
        <scheme val="minor"/>
      </rPr>
      <t>, kN/m</t>
    </r>
    <r>
      <rPr>
        <b/>
        <sz val="11"/>
        <color theme="1"/>
        <rFont val="Calibri"/>
        <family val="2"/>
        <charset val="238"/>
      </rPr>
      <t>²</t>
    </r>
  </si>
  <si>
    <r>
      <t>Obliczanie oddziaływania wiatru w</t>
    </r>
    <r>
      <rPr>
        <b/>
        <sz val="10"/>
        <color theme="1"/>
        <rFont val="Calibri"/>
        <family val="2"/>
        <charset val="238"/>
        <scheme val="minor"/>
      </rPr>
      <t>e,d</t>
    </r>
    <r>
      <rPr>
        <b/>
        <sz val="14"/>
        <color theme="1"/>
        <rFont val="Calibri"/>
        <family val="2"/>
        <charset val="238"/>
        <scheme val="minor"/>
      </rPr>
      <t>, gdy we wszystkich kierunkach występują takie same warunki</t>
    </r>
  </si>
  <si>
    <r>
      <t>Obliczanie oddziaływania wiatru w</t>
    </r>
    <r>
      <rPr>
        <b/>
        <sz val="10"/>
        <color theme="1"/>
        <rFont val="Calibri"/>
        <family val="2"/>
        <charset val="238"/>
        <scheme val="minor"/>
      </rPr>
      <t>e,d</t>
    </r>
    <r>
      <rPr>
        <b/>
        <sz val="14"/>
        <color theme="1"/>
        <rFont val="Calibri"/>
        <family val="2"/>
        <charset val="238"/>
        <scheme val="minor"/>
      </rPr>
      <t>, gdy w poszczególnych kierunkach występują inne warunki</t>
    </r>
  </si>
  <si>
    <t>Instrukcja wykonywania obliczeń</t>
  </si>
  <si>
    <t>Liczba łączników na jedną płytę umieszczonych w polu płyty, szt</t>
  </si>
  <si>
    <t>Liczba łączników na jedną płytę umieszczonych w spoinach, szt</t>
  </si>
  <si>
    <t>Inny</t>
  </si>
  <si>
    <t>Proporcja h/b</t>
  </si>
  <si>
    <r>
      <t>Średnia prędkość wiatru na wysokości odniesienia, v</t>
    </r>
    <r>
      <rPr>
        <sz val="8"/>
        <rFont val="Arial"/>
        <family val="2"/>
        <charset val="238"/>
      </rPr>
      <t>m</t>
    </r>
    <r>
      <rPr>
        <sz val="11"/>
        <color theme="1"/>
        <rFont val="Calibri"/>
        <family val="2"/>
        <charset val="238"/>
        <scheme val="minor"/>
      </rPr>
      <t>(z</t>
    </r>
    <r>
      <rPr>
        <sz val="11"/>
        <color theme="1"/>
        <rFont val="Calibri"/>
        <family val="2"/>
        <charset val="238"/>
        <scheme val="minor"/>
      </rPr>
      <t>) [m/s]</t>
    </r>
  </si>
  <si>
    <r>
      <t>Przyjęta wysokość odniesienia, z</t>
    </r>
    <r>
      <rPr>
        <sz val="8"/>
        <color theme="1"/>
        <rFont val="Calibri"/>
        <family val="2"/>
        <charset val="238"/>
        <scheme val="minor"/>
      </rPr>
      <t>e</t>
    </r>
    <r>
      <rPr>
        <sz val="11"/>
        <color theme="1"/>
        <rFont val="Calibri"/>
        <family val="2"/>
        <charset val="238"/>
        <scheme val="minor"/>
      </rPr>
      <t xml:space="preserve"> [m]</t>
    </r>
  </si>
  <si>
    <t>ze = b</t>
  </si>
  <si>
    <t>ze = h, wysokość zalecana</t>
  </si>
  <si>
    <t>ze = h - b</t>
  </si>
  <si>
    <t>ze = ?, wpisz tu wysokość</t>
  </si>
  <si>
    <t>Możliwe położenia łączników wg prEN 17237:2018</t>
  </si>
  <si>
    <t>Wiatr I - takie same warunki ze wszystkich kierunków</t>
  </si>
  <si>
    <t>Wiatr II - różne warunki w zależności od kierunku</t>
  </si>
  <si>
    <r>
      <t>Nośność obliczeniowa miarodajna  R</t>
    </r>
    <r>
      <rPr>
        <b/>
        <sz val="8"/>
        <color theme="1"/>
        <rFont val="Calibri"/>
        <family val="2"/>
        <charset val="238"/>
        <scheme val="minor"/>
      </rPr>
      <t>d</t>
    </r>
    <r>
      <rPr>
        <b/>
        <sz val="11"/>
        <color theme="1"/>
        <rFont val="Calibri"/>
        <family val="2"/>
        <charset val="238"/>
        <scheme val="minor"/>
      </rPr>
      <t>, kN/m²</t>
    </r>
  </si>
  <si>
    <t>Siła wyrywająca wg ETA, N, kN</t>
  </si>
  <si>
    <t>Przemieszczenie graniczne δ (w miejscu występowania łącznika), mm</t>
  </si>
  <si>
    <t>Wyrywanie łączników z podłoża</t>
  </si>
  <si>
    <t>Przeciąganie płyt przez łączniki</t>
  </si>
  <si>
    <t>Łączne uwzględnienie wyrywania i przeciągania</t>
  </si>
  <si>
    <t>Układ łączników</t>
  </si>
  <si>
    <t>Dopuszczalne niedoszacowanie nośności, %</t>
  </si>
  <si>
    <t>Minimalna liczba łączników, szt./m²</t>
  </si>
  <si>
    <t>Schemat</t>
  </si>
  <si>
    <t>Łączniki</t>
  </si>
  <si>
    <t>Nośność</t>
  </si>
  <si>
    <t>Wymagana nośność</t>
  </si>
  <si>
    <t>T</t>
  </si>
  <si>
    <t>Łączniki szt./m²</t>
  </si>
  <si>
    <t>W</t>
  </si>
  <si>
    <t>H</t>
  </si>
  <si>
    <t>Schematy</t>
  </si>
  <si>
    <r>
      <rPr>
        <b/>
        <u/>
        <sz val="16"/>
        <rFont val="Calibri"/>
        <family val="2"/>
        <charset val="238"/>
        <scheme val="minor"/>
      </rPr>
      <t>R</t>
    </r>
    <r>
      <rPr>
        <b/>
        <u/>
        <sz val="11"/>
        <rFont val="Calibri"/>
        <family val="2"/>
        <charset val="238"/>
        <scheme val="minor"/>
      </rPr>
      <t>d</t>
    </r>
    <r>
      <rPr>
        <b/>
        <sz val="16"/>
        <rFont val="Calibri"/>
        <family val="2"/>
        <charset val="238"/>
        <scheme val="minor"/>
      </rPr>
      <t xml:space="preserve">   ≥   </t>
    </r>
    <r>
      <rPr>
        <b/>
        <u/>
        <sz val="16"/>
        <rFont val="Calibri"/>
        <family val="2"/>
        <charset val="238"/>
        <scheme val="minor"/>
      </rPr>
      <t>w</t>
    </r>
    <r>
      <rPr>
        <b/>
        <u/>
        <sz val="11"/>
        <rFont val="Calibri"/>
        <family val="2"/>
        <charset val="238"/>
        <scheme val="minor"/>
      </rPr>
      <t>e,d</t>
    </r>
  </si>
  <si>
    <r>
      <rPr>
        <b/>
        <u/>
        <sz val="16"/>
        <rFont val="Calibri"/>
        <family val="2"/>
        <charset val="238"/>
        <scheme val="minor"/>
      </rPr>
      <t>δ</t>
    </r>
    <r>
      <rPr>
        <b/>
        <sz val="16"/>
        <rFont val="Calibri"/>
        <family val="2"/>
        <charset val="238"/>
        <scheme val="minor"/>
      </rPr>
      <t xml:space="preserve">   ≥   </t>
    </r>
    <r>
      <rPr>
        <b/>
        <u/>
        <sz val="16"/>
        <rFont val="Calibri"/>
        <family val="2"/>
        <charset val="238"/>
        <scheme val="minor"/>
      </rPr>
      <t>δ</t>
    </r>
    <r>
      <rPr>
        <b/>
        <u/>
        <sz val="11"/>
        <rFont val="Calibri"/>
        <family val="2"/>
        <charset val="238"/>
        <scheme val="minor"/>
      </rPr>
      <t>N</t>
    </r>
  </si>
  <si>
    <t>Liczba łączników na jedną płytę umieszczonych przy obrzeżach, szt</t>
  </si>
  <si>
    <r>
      <t>Liczba łączników umieszczonych w polu płyt,</t>
    </r>
    <r>
      <rPr>
        <sz val="11"/>
        <color rgb="FFFF0000"/>
        <rFont val="Calibri"/>
        <family val="2"/>
        <charset val="238"/>
        <scheme val="minor"/>
      </rPr>
      <t xml:space="preserve"> n</t>
    </r>
    <r>
      <rPr>
        <sz val="8"/>
        <color rgb="FFFF0000"/>
        <rFont val="Calibri"/>
        <family val="2"/>
        <charset val="238"/>
        <scheme val="minor"/>
      </rPr>
      <t>a</t>
    </r>
    <r>
      <rPr>
        <sz val="11"/>
        <color theme="1"/>
        <rFont val="Calibri"/>
        <family val="2"/>
        <charset val="238"/>
        <scheme val="minor"/>
      </rPr>
      <t>, szt/m</t>
    </r>
    <r>
      <rPr>
        <sz val="11"/>
        <color theme="1"/>
        <rFont val="Calibri"/>
        <family val="2"/>
        <charset val="238"/>
      </rPr>
      <t>²</t>
    </r>
  </si>
  <si>
    <r>
      <t xml:space="preserve">Liczba łączników umieszczonych przy obreżach, </t>
    </r>
    <r>
      <rPr>
        <sz val="11"/>
        <color rgb="FFFF0000"/>
        <rFont val="Calibri"/>
        <family val="2"/>
        <charset val="238"/>
        <scheme val="minor"/>
      </rPr>
      <t>n</t>
    </r>
    <r>
      <rPr>
        <sz val="8"/>
        <color rgb="FFFF0000"/>
        <rFont val="Calibri"/>
        <family val="2"/>
        <charset val="238"/>
        <scheme val="minor"/>
      </rPr>
      <t>ec</t>
    </r>
    <r>
      <rPr>
        <sz val="11"/>
        <color theme="1"/>
        <rFont val="Calibri"/>
        <family val="2"/>
        <charset val="238"/>
        <scheme val="minor"/>
      </rPr>
      <t>, szt/m</t>
    </r>
    <r>
      <rPr>
        <sz val="11"/>
        <color theme="1"/>
        <rFont val="Calibri"/>
        <family val="2"/>
        <charset val="238"/>
      </rPr>
      <t>²</t>
    </r>
  </si>
  <si>
    <r>
      <t>Liczba łączników umieszczonych w polu płyt,</t>
    </r>
    <r>
      <rPr>
        <sz val="11"/>
        <color rgb="FFFF0000"/>
        <rFont val="Calibri"/>
        <family val="2"/>
        <charset val="238"/>
        <scheme val="minor"/>
      </rPr>
      <t xml:space="preserve"> n</t>
    </r>
    <r>
      <rPr>
        <sz val="8"/>
        <color rgb="FFFF0000"/>
        <rFont val="Calibri"/>
        <family val="2"/>
        <charset val="238"/>
        <scheme val="minor"/>
      </rPr>
      <t>a</t>
    </r>
    <r>
      <rPr>
        <sz val="11"/>
        <color rgb="FFFF0000"/>
        <rFont val="Calibri"/>
        <family val="2"/>
        <charset val="238"/>
        <scheme val="minor"/>
      </rPr>
      <t xml:space="preserve"> (n</t>
    </r>
    <r>
      <rPr>
        <sz val="8"/>
        <color rgb="FFFF0000"/>
        <rFont val="Calibri"/>
        <family val="2"/>
        <charset val="238"/>
        <scheme val="minor"/>
      </rPr>
      <t>panel</t>
    </r>
    <r>
      <rPr>
        <sz val="11"/>
        <color rgb="FFFF0000"/>
        <rFont val="Calibri"/>
        <family val="2"/>
        <charset val="238"/>
        <scheme val="minor"/>
      </rPr>
      <t>)</t>
    </r>
    <r>
      <rPr>
        <sz val="11"/>
        <color theme="1"/>
        <rFont val="Calibri"/>
        <family val="2"/>
        <charset val="238"/>
        <scheme val="minor"/>
      </rPr>
      <t>, szt/m</t>
    </r>
    <r>
      <rPr>
        <sz val="11"/>
        <color theme="1"/>
        <rFont val="Calibri"/>
        <family val="2"/>
        <charset val="238"/>
      </rPr>
      <t>²</t>
    </r>
  </si>
  <si>
    <r>
      <t xml:space="preserve">Liczba łączników umieszczonych w spoinach, </t>
    </r>
    <r>
      <rPr>
        <sz val="11"/>
        <color rgb="FFFF0000"/>
        <rFont val="Calibri"/>
        <family val="2"/>
        <charset val="238"/>
        <scheme val="minor"/>
      </rPr>
      <t>n</t>
    </r>
    <r>
      <rPr>
        <sz val="8"/>
        <color rgb="FFFF0000"/>
        <rFont val="Calibri"/>
        <family val="2"/>
        <charset val="238"/>
        <scheme val="minor"/>
      </rPr>
      <t>j</t>
    </r>
    <r>
      <rPr>
        <sz val="11"/>
        <color rgb="FFFF0000"/>
        <rFont val="Calibri"/>
        <family val="2"/>
        <charset val="238"/>
        <scheme val="minor"/>
      </rPr>
      <t xml:space="preserve"> (n</t>
    </r>
    <r>
      <rPr>
        <sz val="8"/>
        <color rgb="FFFF0000"/>
        <rFont val="Calibri"/>
        <family val="2"/>
        <charset val="238"/>
        <scheme val="minor"/>
      </rPr>
      <t>joint</t>
    </r>
    <r>
      <rPr>
        <sz val="11"/>
        <color rgb="FFFF0000"/>
        <rFont val="Calibri"/>
        <family val="2"/>
        <charset val="238"/>
        <scheme val="minor"/>
      </rPr>
      <t>)</t>
    </r>
    <r>
      <rPr>
        <sz val="11"/>
        <color theme="1"/>
        <rFont val="Calibri"/>
        <family val="2"/>
        <charset val="238"/>
        <scheme val="minor"/>
      </rPr>
      <t>, szt/m</t>
    </r>
    <r>
      <rPr>
        <sz val="11"/>
        <color theme="1"/>
        <rFont val="Calibri"/>
        <family val="2"/>
        <charset val="238"/>
      </rPr>
      <t>²</t>
    </r>
  </si>
  <si>
    <t>Charakterystyczne obciążenie wiatrem</t>
  </si>
  <si>
    <r>
      <t>δ</t>
    </r>
    <r>
      <rPr>
        <b/>
        <sz val="8"/>
        <color theme="1"/>
        <rFont val="Calibri"/>
        <family val="2"/>
        <charset val="238"/>
        <scheme val="minor"/>
      </rPr>
      <t>N</t>
    </r>
    <r>
      <rPr>
        <b/>
        <sz val="11"/>
        <color theme="1"/>
        <rFont val="Calibri"/>
        <family val="2"/>
        <charset val="238"/>
        <scheme val="minor"/>
      </rPr>
      <t xml:space="preserve">          mm</t>
    </r>
  </si>
  <si>
    <r>
      <t>δ</t>
    </r>
    <r>
      <rPr>
        <b/>
        <sz val="8"/>
        <color theme="1"/>
        <rFont val="Calibri"/>
        <family val="2"/>
        <charset val="238"/>
        <scheme val="minor"/>
      </rPr>
      <t>N</t>
    </r>
    <r>
      <rPr>
        <b/>
        <sz val="11"/>
        <color theme="1"/>
        <rFont val="Calibri"/>
        <family val="2"/>
        <charset val="238"/>
        <scheme val="minor"/>
      </rPr>
      <t>, mm</t>
    </r>
  </si>
  <si>
    <r>
      <t>Przemieszczenie wg ETA, δ</t>
    </r>
    <r>
      <rPr>
        <b/>
        <sz val="8"/>
        <color theme="1"/>
        <rFont val="Calibri"/>
        <family val="2"/>
        <charset val="238"/>
        <scheme val="minor"/>
      </rPr>
      <t>m</t>
    </r>
    <r>
      <rPr>
        <b/>
        <sz val="11"/>
        <color theme="1"/>
        <rFont val="Calibri"/>
        <family val="2"/>
        <charset val="238"/>
        <scheme val="minor"/>
      </rPr>
      <t>, mm</t>
    </r>
  </si>
  <si>
    <t>Wiatr I -takie same warunki ze wszystkich kierunków</t>
  </si>
  <si>
    <t>Rząd 1</t>
  </si>
  <si>
    <t>Rząd 2</t>
  </si>
  <si>
    <t>Rząd 3</t>
  </si>
  <si>
    <t>Rząd 4</t>
  </si>
  <si>
    <t>Łączniki min. szt./m²</t>
  </si>
  <si>
    <t>Przyjęto minimalną liczbę łączników [szt./m²]:</t>
  </si>
  <si>
    <t>Przyjęto układ łączników na:</t>
  </si>
  <si>
    <t>Przyjęto przemieszczenie graniczne w miejscu łącznika [mm]:</t>
  </si>
  <si>
    <r>
      <t>Dodatkowe obciążenie prostopadłe do powierzchni p</t>
    </r>
    <r>
      <rPr>
        <sz val="8"/>
        <color theme="1"/>
        <rFont val="Calibri"/>
        <family val="2"/>
        <charset val="238"/>
        <scheme val="minor"/>
      </rPr>
      <t>d</t>
    </r>
    <r>
      <rPr>
        <sz val="11"/>
        <color theme="1"/>
        <rFont val="Calibri"/>
        <family val="2"/>
        <charset val="238"/>
        <scheme val="minor"/>
      </rPr>
      <t xml:space="preserve"> [kN/m²]</t>
    </r>
  </si>
  <si>
    <t>Dodatkowe obciążenie prostopadłe do powierzchni pd [kN/m²]</t>
  </si>
  <si>
    <t>Na przemian schematy 1 i 3</t>
  </si>
  <si>
    <t>Na przemian schematy 3 i 5</t>
  </si>
  <si>
    <t>Na przemian schematy 5 i 7</t>
  </si>
  <si>
    <t>Na przemian schematy 7 i 9</t>
  </si>
  <si>
    <t>Na przemian schematy 9 i 13</t>
  </si>
  <si>
    <t>Na przemian schematy 10 i 14</t>
  </si>
  <si>
    <t>Na przemian schematy 14 i 16</t>
  </si>
  <si>
    <t xml:space="preserve">Określenie liczby łączników mechanicznych ze względu na nośność, przy oddziaływaniu wiatru I </t>
  </si>
  <si>
    <t>Określenie liczby łączników mechanicznych ze względu na nośność, przy oddziaływaniu wiatru II</t>
  </si>
  <si>
    <t xml:space="preserve">Wymagana liczba łączników mechanicznych, przypadających na 1 m² powierzchni systemu ETICS, przy oddziaływaniu wiatru I </t>
  </si>
  <si>
    <t>Wymagana liczba łączników mechanicznych, przypadających na 1 m² powierzchni systemu ETICS, przy oddziaływaniu wiatru II</t>
  </si>
  <si>
    <t>Na przemian schematy 9 i 11</t>
  </si>
  <si>
    <t>Na przemian schematy 11 i 13</t>
  </si>
  <si>
    <t>Przyjęte wartości współczynnika ciśnienia zewnętrznego, -</t>
  </si>
  <si>
    <t>Wartości współczynnika ciśnienia zewnętrznego, -</t>
  </si>
  <si>
    <t>wartość podstawowa</t>
  </si>
  <si>
    <t>wartość maks przy zwężce</t>
  </si>
  <si>
    <t>inna, wpisz tu wartość</t>
  </si>
  <si>
    <r>
      <t xml:space="preserve">Nośność charakterystyczna (siła niszcząca) na </t>
    </r>
    <r>
      <rPr>
        <sz val="11"/>
        <color rgb="FFFF0000"/>
        <rFont val="Calibri"/>
        <family val="2"/>
        <charset val="238"/>
        <scheme val="minor"/>
      </rPr>
      <t>przeciąganie</t>
    </r>
    <r>
      <rPr>
        <sz val="11"/>
        <color theme="1"/>
        <rFont val="Calibri"/>
        <family val="2"/>
        <charset val="238"/>
        <scheme val="minor"/>
      </rPr>
      <t xml:space="preserve"> przez łącznik umieszczony </t>
    </r>
    <r>
      <rPr>
        <sz val="11"/>
        <color rgb="FFFF0000"/>
        <rFont val="Calibri"/>
        <family val="2"/>
        <charset val="238"/>
        <scheme val="minor"/>
      </rPr>
      <t>w polu płyty</t>
    </r>
    <r>
      <rPr>
        <sz val="11"/>
        <color theme="1"/>
        <rFont val="Calibri"/>
        <family val="2"/>
        <charset val="238"/>
        <scheme val="minor"/>
      </rPr>
      <t xml:space="preserve">, </t>
    </r>
    <r>
      <rPr>
        <sz val="11"/>
        <color rgb="FFFF0000"/>
        <rFont val="Calibri"/>
        <family val="2"/>
        <charset val="238"/>
        <scheme val="minor"/>
      </rPr>
      <t>F</t>
    </r>
    <r>
      <rPr>
        <sz val="8"/>
        <color rgb="FFFF0000"/>
        <rFont val="Calibri"/>
        <family val="2"/>
        <charset val="238"/>
        <scheme val="minor"/>
      </rPr>
      <t>k,a</t>
    </r>
    <r>
      <rPr>
        <sz val="11"/>
        <color rgb="FFFF0000"/>
        <rFont val="Calibri"/>
        <family val="2"/>
        <charset val="238"/>
        <scheme val="minor"/>
      </rPr>
      <t xml:space="preserve"> (R</t>
    </r>
    <r>
      <rPr>
        <sz val="8"/>
        <color rgb="FFFF0000"/>
        <rFont val="Calibri"/>
        <family val="2"/>
        <charset val="238"/>
        <scheme val="minor"/>
      </rPr>
      <t>panel</t>
    </r>
    <r>
      <rPr>
        <sz val="11"/>
        <color rgb="FFFF0000"/>
        <rFont val="Calibri"/>
        <family val="2"/>
        <charset val="238"/>
        <scheme val="minor"/>
      </rPr>
      <t>)</t>
    </r>
    <r>
      <rPr>
        <sz val="11"/>
        <color theme="1"/>
        <rFont val="Calibri"/>
        <family val="2"/>
        <charset val="238"/>
        <scheme val="minor"/>
      </rPr>
      <t>, kN</t>
    </r>
  </si>
  <si>
    <r>
      <t xml:space="preserve">Nośność charakterystyczna (siła niszcząca) na </t>
    </r>
    <r>
      <rPr>
        <sz val="11"/>
        <color rgb="FFFF0000"/>
        <rFont val="Calibri"/>
        <family val="2"/>
        <charset val="238"/>
        <scheme val="minor"/>
      </rPr>
      <t>przeciąganie</t>
    </r>
    <r>
      <rPr>
        <sz val="11"/>
        <color theme="1"/>
        <rFont val="Calibri"/>
        <family val="2"/>
        <charset val="238"/>
        <scheme val="minor"/>
      </rPr>
      <t xml:space="preserve"> przez łącznik umieszczony </t>
    </r>
    <r>
      <rPr>
        <sz val="11"/>
        <color rgb="FFFF0000"/>
        <rFont val="Calibri"/>
        <family val="2"/>
        <charset val="238"/>
        <scheme val="minor"/>
      </rPr>
      <t>w stykach płyt (spoinach)</t>
    </r>
    <r>
      <rPr>
        <sz val="11"/>
        <color theme="1"/>
        <rFont val="Calibri"/>
        <family val="2"/>
        <charset val="238"/>
        <scheme val="minor"/>
      </rPr>
      <t>,</t>
    </r>
    <r>
      <rPr>
        <sz val="11"/>
        <color rgb="FFFF0000"/>
        <rFont val="Calibri"/>
        <family val="2"/>
        <charset val="238"/>
        <scheme val="minor"/>
      </rPr>
      <t xml:space="preserve"> F</t>
    </r>
    <r>
      <rPr>
        <sz val="8"/>
        <color rgb="FFFF0000"/>
        <rFont val="Calibri"/>
        <family val="2"/>
        <charset val="238"/>
        <scheme val="minor"/>
      </rPr>
      <t>k,j</t>
    </r>
    <r>
      <rPr>
        <sz val="11"/>
        <color rgb="FFFF0000"/>
        <rFont val="Calibri"/>
        <family val="2"/>
        <charset val="238"/>
        <scheme val="minor"/>
      </rPr>
      <t xml:space="preserve"> (R</t>
    </r>
    <r>
      <rPr>
        <sz val="8"/>
        <color rgb="FFFF0000"/>
        <rFont val="Calibri"/>
        <family val="2"/>
        <charset val="238"/>
        <scheme val="minor"/>
      </rPr>
      <t>joint</t>
    </r>
    <r>
      <rPr>
        <sz val="11"/>
        <color rgb="FFFF0000"/>
        <rFont val="Calibri"/>
        <family val="2"/>
        <charset val="238"/>
        <scheme val="minor"/>
      </rPr>
      <t>)</t>
    </r>
    <r>
      <rPr>
        <sz val="11"/>
        <color theme="1"/>
        <rFont val="Calibri"/>
        <family val="2"/>
        <charset val="238"/>
        <scheme val="minor"/>
      </rPr>
      <t>, kN</t>
    </r>
  </si>
  <si>
    <r>
      <t xml:space="preserve">Nośność charakterystyczna (siła niszcząca) na </t>
    </r>
    <r>
      <rPr>
        <sz val="11"/>
        <color rgb="FFFF0000"/>
        <rFont val="Calibri"/>
        <family val="2"/>
        <charset val="238"/>
        <scheme val="minor"/>
      </rPr>
      <t>przeciąganie</t>
    </r>
    <r>
      <rPr>
        <sz val="11"/>
        <color theme="1"/>
        <rFont val="Calibri"/>
        <family val="2"/>
        <charset val="238"/>
        <scheme val="minor"/>
      </rPr>
      <t xml:space="preserve"> przez łącznik umieszczony </t>
    </r>
    <r>
      <rPr>
        <sz val="11"/>
        <color rgb="FFFF0000"/>
        <rFont val="Calibri"/>
        <family val="2"/>
        <charset val="238"/>
        <scheme val="minor"/>
      </rPr>
      <t>w polu płyty</t>
    </r>
    <r>
      <rPr>
        <sz val="11"/>
        <color theme="1"/>
        <rFont val="Calibri"/>
        <family val="2"/>
        <charset val="238"/>
        <scheme val="minor"/>
      </rPr>
      <t xml:space="preserve">, </t>
    </r>
    <r>
      <rPr>
        <sz val="11"/>
        <color rgb="FFFF0000"/>
        <rFont val="Calibri"/>
        <family val="2"/>
        <charset val="238"/>
        <scheme val="minor"/>
      </rPr>
      <t>F</t>
    </r>
    <r>
      <rPr>
        <sz val="8"/>
        <color rgb="FFFF0000"/>
        <rFont val="Calibri"/>
        <family val="2"/>
        <charset val="238"/>
        <scheme val="minor"/>
      </rPr>
      <t>k,a</t>
    </r>
    <r>
      <rPr>
        <sz val="11"/>
        <color rgb="FFFF0000"/>
        <rFont val="Calibri"/>
        <family val="2"/>
        <charset val="238"/>
        <scheme val="minor"/>
      </rPr>
      <t xml:space="preserve"> (R</t>
    </r>
    <r>
      <rPr>
        <sz val="8"/>
        <color rgb="FFFF0000"/>
        <rFont val="Calibri"/>
        <family val="2"/>
        <charset val="238"/>
        <scheme val="minor"/>
      </rPr>
      <t>panel</t>
    </r>
    <r>
      <rPr>
        <sz val="11"/>
        <color rgb="FFFF0000"/>
        <rFont val="Calibri"/>
        <family val="2"/>
        <charset val="238"/>
        <scheme val="minor"/>
      </rPr>
      <t xml:space="preserve">) </t>
    </r>
    <r>
      <rPr>
        <sz val="11"/>
        <rFont val="Calibri"/>
        <family val="2"/>
        <charset val="238"/>
        <scheme val="minor"/>
      </rPr>
      <t>albo</t>
    </r>
    <r>
      <rPr>
        <sz val="11"/>
        <color rgb="FFFF0000"/>
        <rFont val="Calibri"/>
        <family val="2"/>
        <charset val="238"/>
        <scheme val="minor"/>
      </rPr>
      <t xml:space="preserve"> przy obrzeżach</t>
    </r>
    <r>
      <rPr>
        <sz val="11"/>
        <rFont val="Calibri"/>
        <family val="2"/>
        <charset val="238"/>
        <scheme val="minor"/>
      </rPr>
      <t>,</t>
    </r>
    <r>
      <rPr>
        <sz val="11"/>
        <color rgb="FFFF0000"/>
        <rFont val="Calibri"/>
        <family val="2"/>
        <charset val="238"/>
        <scheme val="minor"/>
      </rPr>
      <t xml:space="preserve"> F</t>
    </r>
    <r>
      <rPr>
        <sz val="8"/>
        <color rgb="FFFF0000"/>
        <rFont val="Calibri"/>
        <family val="2"/>
        <charset val="238"/>
        <scheme val="minor"/>
      </rPr>
      <t>k,ec</t>
    </r>
    <r>
      <rPr>
        <sz val="11"/>
        <rFont val="Calibri"/>
        <family val="2"/>
        <charset val="238"/>
        <scheme val="minor"/>
      </rPr>
      <t xml:space="preserve">, </t>
    </r>
    <r>
      <rPr>
        <sz val="11"/>
        <color theme="1"/>
        <rFont val="Calibri"/>
        <family val="2"/>
        <charset val="238"/>
        <scheme val="minor"/>
      </rPr>
      <t>kN</t>
    </r>
  </si>
  <si>
    <r>
      <t xml:space="preserve">Nośność charakterystyczna (siła niszcząca) na </t>
    </r>
    <r>
      <rPr>
        <sz val="11"/>
        <color rgb="FFFF0000"/>
        <rFont val="Calibri"/>
        <family val="2"/>
        <charset val="238"/>
        <scheme val="minor"/>
      </rPr>
      <t>przeciąganie</t>
    </r>
    <r>
      <rPr>
        <sz val="11"/>
        <color theme="1"/>
        <rFont val="Calibri"/>
        <family val="2"/>
        <charset val="238"/>
        <scheme val="minor"/>
      </rPr>
      <t xml:space="preserve"> przez łącznik umieszczony </t>
    </r>
    <r>
      <rPr>
        <sz val="11"/>
        <color rgb="FFFF0000"/>
        <rFont val="Calibri"/>
        <family val="2"/>
        <charset val="238"/>
        <scheme val="minor"/>
      </rPr>
      <t>przy obrzeżach</t>
    </r>
    <r>
      <rPr>
        <sz val="11"/>
        <color theme="1"/>
        <rFont val="Calibri"/>
        <family val="2"/>
        <charset val="238"/>
        <scheme val="minor"/>
      </rPr>
      <t>,</t>
    </r>
    <r>
      <rPr>
        <sz val="11"/>
        <color rgb="FFFF0000"/>
        <rFont val="Calibri"/>
        <family val="2"/>
        <charset val="238"/>
        <scheme val="minor"/>
      </rPr>
      <t xml:space="preserve"> F</t>
    </r>
    <r>
      <rPr>
        <sz val="8"/>
        <color rgb="FFFF0000"/>
        <rFont val="Calibri"/>
        <family val="2"/>
        <charset val="238"/>
        <scheme val="minor"/>
      </rPr>
      <t>k,ec</t>
    </r>
    <r>
      <rPr>
        <sz val="11"/>
        <color theme="1"/>
        <rFont val="Calibri"/>
        <family val="2"/>
        <charset val="238"/>
        <scheme val="minor"/>
      </rPr>
      <t xml:space="preserve">, albo </t>
    </r>
    <r>
      <rPr>
        <sz val="11"/>
        <color rgb="FFFF0000"/>
        <rFont val="Calibri"/>
        <family val="2"/>
        <charset val="238"/>
        <scheme val="minor"/>
      </rPr>
      <t>w polu płyty</t>
    </r>
    <r>
      <rPr>
        <sz val="11"/>
        <color theme="1"/>
        <rFont val="Calibri"/>
        <family val="2"/>
        <charset val="238"/>
        <scheme val="minor"/>
      </rPr>
      <t xml:space="preserve">, </t>
    </r>
    <r>
      <rPr>
        <sz val="11"/>
        <color rgb="FFFF0000"/>
        <rFont val="Calibri"/>
        <family val="2"/>
        <charset val="238"/>
        <scheme val="minor"/>
      </rPr>
      <t>F</t>
    </r>
    <r>
      <rPr>
        <sz val="8"/>
        <color rgb="FFFF0000"/>
        <rFont val="Calibri"/>
        <family val="2"/>
        <charset val="238"/>
        <scheme val="minor"/>
      </rPr>
      <t>k,a</t>
    </r>
    <r>
      <rPr>
        <sz val="11"/>
        <color theme="1"/>
        <rFont val="Calibri"/>
        <family val="2"/>
        <charset val="238"/>
        <scheme val="minor"/>
      </rPr>
      <t>, kN</t>
    </r>
  </si>
  <si>
    <t>Program został opracowany w postaci zespołu arkuszy kalkulacyjnych Microsoft® Excel®, umożliwiających określenie:
- oddziaływania ssania wiatru na ściany budynku,
- nośności układu łączników mechanicznych i nośności systemu ETICS,
- przemieszczenia w miejscu występowania łącznika,
- wymaganej, minimalnej liczby łączników, przypadających na 1 m² powierzchni.</t>
  </si>
  <si>
    <r>
      <t xml:space="preserve">Obliczanie nośności łączników mechanicznych </t>
    </r>
    <r>
      <rPr>
        <b/>
        <u/>
        <sz val="16"/>
        <color theme="1"/>
        <rFont val="Calibri"/>
        <family val="2"/>
        <charset val="238"/>
        <scheme val="minor"/>
      </rPr>
      <t>R</t>
    </r>
    <r>
      <rPr>
        <b/>
        <u/>
        <sz val="11"/>
        <color theme="1"/>
        <rFont val="Calibri"/>
        <family val="2"/>
        <charset val="238"/>
        <scheme val="minor"/>
      </rPr>
      <t>d,f</t>
    </r>
    <r>
      <rPr>
        <b/>
        <sz val="16"/>
        <color theme="1"/>
        <rFont val="Calibri"/>
        <family val="2"/>
        <charset val="238"/>
        <scheme val="minor"/>
      </rPr>
      <t xml:space="preserve">, nośności systemu ETICS </t>
    </r>
    <r>
      <rPr>
        <b/>
        <u/>
        <sz val="16"/>
        <color theme="1"/>
        <rFont val="Calibri"/>
        <family val="2"/>
        <charset val="238"/>
        <scheme val="minor"/>
      </rPr>
      <t>R</t>
    </r>
    <r>
      <rPr>
        <b/>
        <u/>
        <sz val="11"/>
        <color theme="1"/>
        <rFont val="Calibri"/>
        <family val="2"/>
        <charset val="238"/>
        <scheme val="minor"/>
      </rPr>
      <t>d,ETICS</t>
    </r>
    <r>
      <rPr>
        <b/>
        <sz val="16"/>
        <color theme="1"/>
        <rFont val="Calibri"/>
        <family val="2"/>
        <charset val="238"/>
        <scheme val="minor"/>
      </rPr>
      <t xml:space="preserve"> oraz nośności miarodajnej </t>
    </r>
    <r>
      <rPr>
        <b/>
        <u/>
        <sz val="16"/>
        <color theme="1"/>
        <rFont val="Calibri"/>
        <family val="2"/>
        <charset val="238"/>
        <scheme val="minor"/>
      </rPr>
      <t>R</t>
    </r>
    <r>
      <rPr>
        <b/>
        <u/>
        <sz val="11"/>
        <color theme="1"/>
        <rFont val="Calibri"/>
        <family val="2"/>
        <charset val="238"/>
        <scheme val="minor"/>
      </rPr>
      <t>d</t>
    </r>
  </si>
  <si>
    <r>
      <t>Obliczanie nośności łączników mechanicznych R</t>
    </r>
    <r>
      <rPr>
        <b/>
        <sz val="10"/>
        <color theme="1"/>
        <rFont val="Calibri"/>
        <family val="2"/>
        <charset val="238"/>
        <scheme val="minor"/>
      </rPr>
      <t>d,f</t>
    </r>
    <r>
      <rPr>
        <b/>
        <sz val="14"/>
        <color theme="1"/>
        <rFont val="Calibri"/>
        <family val="2"/>
        <charset val="238"/>
        <scheme val="minor"/>
      </rPr>
      <t>, nośności systemu ETICS R</t>
    </r>
    <r>
      <rPr>
        <b/>
        <sz val="10"/>
        <color theme="1"/>
        <rFont val="Calibri"/>
        <family val="2"/>
        <charset val="238"/>
        <scheme val="minor"/>
      </rPr>
      <t xml:space="preserve">d,ETICS </t>
    </r>
    <r>
      <rPr>
        <b/>
        <sz val="14"/>
        <color theme="1"/>
        <rFont val="Calibri"/>
        <family val="2"/>
        <charset val="238"/>
        <scheme val="minor"/>
      </rPr>
      <t>oraz nośności miarodajnej R</t>
    </r>
    <r>
      <rPr>
        <b/>
        <sz val="10"/>
        <color theme="1"/>
        <rFont val="Calibri"/>
        <family val="2"/>
        <charset val="238"/>
        <scheme val="minor"/>
      </rPr>
      <t>d</t>
    </r>
  </si>
  <si>
    <r>
      <rPr>
        <b/>
        <sz val="11"/>
        <color theme="1"/>
        <rFont val="Calibri"/>
        <family val="2"/>
        <charset val="238"/>
        <scheme val="minor"/>
      </rPr>
      <t>Obliczenia wykonuje się w arkuszu kalkulacyjnym o nazwie „Obliczenia wiatr I”.</t>
    </r>
    <r>
      <rPr>
        <sz val="11"/>
        <color theme="1"/>
        <rFont val="Calibri"/>
        <family val="2"/>
        <charset val="238"/>
        <scheme val="minor"/>
      </rPr>
      <t xml:space="preserve">
W arkuszu tym uzyskuje się wartości oddziaływania wiatru w poszczególnych polach ścian bez uwzględnienia usytuowania budynku względem stron świata i wpływu sąsiedniej zabudowy.
Komórki arkusza wymagające wstawienia wartości, sprawdzenia wartości przyjętej albo dokonania wyboru z listy rozwijanej, wyróżniono kolorem szarym.
W celu przeprowadzenia obliczeń oddziaływania (ssania) wiatru na ściany budynku (</t>
    </r>
    <r>
      <rPr>
        <b/>
        <sz val="11"/>
        <color theme="1"/>
        <rFont val="Calibri"/>
        <family val="2"/>
        <charset val="238"/>
        <scheme val="minor"/>
      </rPr>
      <t>w</t>
    </r>
    <r>
      <rPr>
        <b/>
        <sz val="8"/>
        <color theme="1"/>
        <rFont val="Calibri"/>
        <family val="2"/>
        <charset val="238"/>
        <scheme val="minor"/>
      </rPr>
      <t>e,d</t>
    </r>
    <r>
      <rPr>
        <sz val="11"/>
        <color theme="1"/>
        <rFont val="Calibri"/>
        <family val="2"/>
        <charset val="238"/>
        <scheme val="minor"/>
      </rPr>
      <t>), należy:
- wybrać z listy rozwijanej strefę obciążenia wiatrem w Polsce, właściwą lokalizacji rozpatrywanego budynku. Możliwy jest wybór zasadniczej strefy (1, 2 albo 3), a także strefy pośredniej pomiędzy strefami 1 i 2, obejmującej pas o szerokości 10 km po obu stronach granicy stref (zgodnie z zapisem w Załączniku krajowym NA normy PN-EN 1991-1-4:2008),
- przyjąć wysokość nad poziomem morza miejsca lokalizacji rozpatrywanego budynku. Wysokość tą można określić wykorzystując np. stronę internetową: http://www.wysokosc.mapa.info.pl/
- wybrać z listy rozwijanej kategorię terenu wokół miejsca lokalizacji rozpatrywanego budynku. W tym arkuszu kalkulacyjnym zakłada się, że we wszystkich kierunkach występuje teren takiej samej kategorii. Zgodnie z zapisem w Załączniku krajowym NA normy PN-EN 1991-1-4:2008, warunkiem zakwalifikowania terenu do określonej kategorii jest minimalna odległość od rozpatrywanej budowli do granicy terenu przyjętej kategorii, mierzona pod wiatr; powinna być ona nie mniejsza niż 30</t>
    </r>
    <r>
      <rPr>
        <sz val="11"/>
        <color theme="1"/>
        <rFont val="Calibri"/>
        <family val="2"/>
        <charset val="238"/>
      </rPr>
      <t>∙</t>
    </r>
    <r>
      <rPr>
        <sz val="11"/>
        <color theme="1"/>
        <rFont val="Calibri"/>
        <family val="2"/>
        <charset val="238"/>
        <scheme val="minor"/>
      </rPr>
      <t>h, gdzie h jest wysokością budynku. Jeżeli budynek o wysokości h jest usytuowany bliżej niż 30</t>
    </r>
    <r>
      <rPr>
        <sz val="11"/>
        <color theme="1"/>
        <rFont val="Calibri"/>
        <family val="2"/>
        <charset val="238"/>
      </rPr>
      <t>∙</t>
    </r>
    <r>
      <rPr>
        <sz val="11"/>
        <color theme="1"/>
        <rFont val="Calibri"/>
        <family val="2"/>
        <charset val="238"/>
        <scheme val="minor"/>
      </rPr>
      <t xml:space="preserve">h od początku terenu kategorii niższej niż ta, która go bezpośrednio otacza, to należy przyjmować, że jest zlokalizowany na terenie kategorii niższej.  Jeżeli na rozpatrywanym obszarze wokół budynku istnieje wybór między dwiema lub więcej kategoriami terenu, to wówczas należy wybrać teren o najniższej kategorii,
- przyjąć wysokość rozpatrywanego budynku, </t>
    </r>
    <r>
      <rPr>
        <b/>
        <sz val="11"/>
        <color theme="1"/>
        <rFont val="Calibri"/>
        <family val="2"/>
        <charset val="238"/>
        <scheme val="minor"/>
      </rPr>
      <t>h</t>
    </r>
    <r>
      <rPr>
        <sz val="11"/>
        <color theme="1"/>
        <rFont val="Calibri"/>
        <family val="2"/>
        <charset val="238"/>
        <scheme val="minor"/>
      </rPr>
      <t xml:space="preserve">,
- przyjąć szerokość (jeden z wymiarów rzutu) rozpatrywanego budynki, </t>
    </r>
    <r>
      <rPr>
        <b/>
        <sz val="11"/>
        <color theme="1"/>
        <rFont val="Calibri"/>
        <family val="2"/>
        <charset val="238"/>
        <scheme val="minor"/>
      </rPr>
      <t>b</t>
    </r>
    <r>
      <rPr>
        <sz val="11"/>
        <color theme="1"/>
        <rFont val="Calibri"/>
        <family val="2"/>
        <charset val="238"/>
        <scheme val="minor"/>
      </rPr>
      <t xml:space="preserve">,
- przyjąć głębokość (drugi z wymiarów rzutu) rozpatrywanego budynku, </t>
    </r>
    <r>
      <rPr>
        <b/>
        <sz val="11"/>
        <color theme="1"/>
        <rFont val="Calibri"/>
        <family val="2"/>
        <charset val="238"/>
        <scheme val="minor"/>
      </rPr>
      <t>d</t>
    </r>
    <r>
      <rPr>
        <sz val="11"/>
        <color theme="1"/>
        <rFont val="Calibri"/>
        <family val="2"/>
        <charset val="238"/>
        <scheme val="minor"/>
      </rPr>
      <t xml:space="preserve">,
- przyjąć wg listy rozwijanej wysokość odniesienia, do obliczeń oddziaływania wiatru. Zgodnie z zapisem normowym zaleca się, aby za wysokość odniesienia przyjąć wysokość budynku. Jeśli jednak w indywidualnym projekcie budynku podano, że rozkład oddziaływania wiatru na ścianach bocznych i zawietrznej może być taki sam, jak na ścianie nawietrznej, istnieje możliwość przyjęcia innych wysokości odniesienia, zależnie od proporcji h/b. Dlatego też lista rozwijana zmienia się w zależności od wymiarów h i b. Z opcji "ze = ?, wpisz tu wartość" należy skorzystać w przypadku przyjęcia wysokości pośredniej między ze = b oraz ze = h-b,  
- przyjąć odpowiednią wartość współczynnika rzeźby terenu (orografii), </t>
    </r>
    <r>
      <rPr>
        <b/>
        <sz val="11"/>
        <color theme="1"/>
        <rFont val="Calibri"/>
        <family val="2"/>
        <charset val="238"/>
        <scheme val="minor"/>
      </rPr>
      <t>c</t>
    </r>
    <r>
      <rPr>
        <b/>
        <sz val="8"/>
        <color theme="1"/>
        <rFont val="Calibri"/>
        <family val="2"/>
        <charset val="238"/>
        <scheme val="minor"/>
      </rPr>
      <t>o</t>
    </r>
    <r>
      <rPr>
        <sz val="11"/>
        <color theme="1"/>
        <rFont val="Calibri"/>
        <family val="2"/>
        <charset val="238"/>
        <scheme val="minor"/>
      </rPr>
      <t xml:space="preserve">, w przypadku lokalizacji budynku na stoku albo w pobliżu wierzchołka stoku: klifu, skarpy, pojedynczego wzgórza albo pasma wzgórz. W celu obliczenia wartości współczynnika orografii, można posłużyć się na przykład arkuszami kalkulacyjnymi dołączonymi do książki: J.A. Żurański, M. Gaczek, Projektowanie według Eurokodów -- Oddziaływania klimatyczne na konstrukcje budowlane według Eurokodu 1 -- Komentarze z przykładami obliczeń; Instytut Techniki Budowlanej, Warszawa 2011. W pozostałych przypadkach, pozostawić wartość równą 1,0,
- wybrać z listy rozwijanej, przyjmowaną do dalszych obliczeń wartość szczytowego ciśnienia prędkości wiatru. Możliwy jest wybór spośród trzech wartości, obliczonych wg:
-- zasadniczej części normy PN-EN 1991-1-4:2008 (oznaczenie </t>
    </r>
    <r>
      <rPr>
        <b/>
        <sz val="11"/>
        <color theme="1"/>
        <rFont val="Calibri"/>
        <family val="2"/>
        <charset val="238"/>
        <scheme val="minor"/>
      </rPr>
      <t>EN</t>
    </r>
    <r>
      <rPr>
        <sz val="11"/>
        <color theme="1"/>
        <rFont val="Calibri"/>
        <family val="2"/>
        <charset val="238"/>
        <scheme val="minor"/>
      </rPr>
      <t xml:space="preserve">),
-- Załącznika krajowego, przy wykorzystaniu współczynnika chropowatości terenu, z możliwością przyjęcia odpowiedniej wartości współczynnika orografii (oznaczenie </t>
    </r>
    <r>
      <rPr>
        <b/>
        <sz val="11"/>
        <color theme="1"/>
        <rFont val="Calibri"/>
        <family val="2"/>
        <charset val="238"/>
        <scheme val="minor"/>
      </rPr>
      <t>NA, co ≥ 1</t>
    </r>
    <r>
      <rPr>
        <sz val="11"/>
        <color theme="1"/>
        <rFont val="Calibri"/>
        <family val="2"/>
        <charset val="238"/>
        <scheme val="minor"/>
      </rPr>
      <t xml:space="preserve">),
-- Załącznika krajowego, przy wykorzystaniu współczynnika ekspozycji, bez możliwości przyjęcia wartości współczynnika orografii większej od 1,0 (oznaczenie </t>
    </r>
    <r>
      <rPr>
        <b/>
        <sz val="11"/>
        <color theme="1"/>
        <rFont val="Calibri"/>
        <family val="2"/>
        <charset val="238"/>
        <scheme val="minor"/>
      </rPr>
      <t>NA, co = 1</t>
    </r>
    <r>
      <rPr>
        <sz val="11"/>
        <color theme="1"/>
        <rFont val="Calibri"/>
        <family val="2"/>
        <charset val="238"/>
        <scheme val="minor"/>
      </rPr>
      <t xml:space="preserve">),
- sprawdzić i ewentualnie skorygować aktualnie obowiązującą wartość częściowego współczynnika bezpieczeństwa, podaną w PN-EN 1990,
- w uzasadnionym przypadku, przyjąć wartość dodatkowego obciążenia prostopadłego do powierzchni.
</t>
    </r>
    <r>
      <rPr>
        <b/>
        <sz val="11"/>
        <color theme="1"/>
        <rFont val="Calibri"/>
        <family val="2"/>
        <charset val="238"/>
        <scheme val="minor"/>
      </rPr>
      <t>Wyniki obliczeń pośrednich, mogących mieć znaczenie przy rozpatrywaniu oddziaływania wiatru, pokazane są w komórkach arkusza wyróżnionych kolorem jasnozielonym.
Wyniki obliczeń końcowych, pokazane są w komórkach arkusza wyróżnionych kolorem zielonym. Są to:
- szerokości poszczególnych pól obciążenia ścian, przy oddziaływaniu wiatru z jednego kierunku,
- wartości obliczeniowe podciśnienia (ssania) wiatru, w poszczególnych polach ścian, przy oddziaływaniu wiatru na ścianę o szerokości b, w</t>
    </r>
    <r>
      <rPr>
        <b/>
        <sz val="8"/>
        <color theme="1"/>
        <rFont val="Calibri"/>
        <family val="2"/>
        <charset val="238"/>
        <scheme val="minor"/>
      </rPr>
      <t>e,d</t>
    </r>
    <r>
      <rPr>
        <b/>
        <sz val="11"/>
        <color theme="1"/>
        <rFont val="Calibri"/>
        <family val="2"/>
        <charset val="238"/>
        <scheme val="minor"/>
      </rPr>
      <t>,
- szerokości poszczególnych pól obciążenia ścian, z uwzględnieniem czterech kierunków wiatru,
- wartości obliczeniowe oddziaływania (ssania) wiatru w poszczególnych polach ścian, z uwzględnieniem czterech kierunków wiatru, w</t>
    </r>
    <r>
      <rPr>
        <b/>
        <sz val="8"/>
        <color theme="1"/>
        <rFont val="Calibri"/>
        <family val="2"/>
        <charset val="238"/>
        <scheme val="minor"/>
      </rPr>
      <t>e,d</t>
    </r>
    <r>
      <rPr>
        <b/>
        <sz val="11"/>
        <color theme="1"/>
        <rFont val="Calibri"/>
        <family val="2"/>
        <charset val="238"/>
        <scheme val="minor"/>
      </rPr>
      <t>.
Wyniki końcowe przedstawiono także graficznie w zakładce „Wyniki graficzne wiatr I”.</t>
    </r>
  </si>
  <si>
    <t>Wyznaczanie oddziaływania wiatru możliwe jest w dwóch wariantach:
- podstawowym, stosowanym gdy nie uwzględnia się wpływu położenia budynku względem stron świata na obciążenie wiatrem i ze wszystkich stron budynku przyjmuje się taką samą kategorię terenu,
- rozszerzonym, stosowanym gdy uwzględnia się wpływ położenia budynku względem stron świata na obciążenie wiatrem lub przyjmuje się różne kategorie terenu w zależności od kierunku. Wariant ten umożliwia także uwzględnienie wpływu sąsiedniej zabudowy na obciążenie wiatrem.
Oba warianty kalkulatora odnoszą się zasadniczo do budynków o rzucie prostokątnym, nie mających części o różnej wysokości (nie dotyczy to połaci dachowych). Jednak stosując metodę wyodrębniania brył, istnieje możliwość prowadzenia obliczeń budynków o złożonych kształtach.</t>
  </si>
  <si>
    <r>
      <rPr>
        <b/>
        <sz val="11"/>
        <color theme="1"/>
        <rFont val="Calibri"/>
        <family val="2"/>
        <charset val="238"/>
        <scheme val="minor"/>
      </rPr>
      <t xml:space="preserve">Obliczenia wykonuje się w arkuszu kalkulacyjnym o nazwie „Obliczenia wiatr II”. </t>
    </r>
    <r>
      <rPr>
        <sz val="11"/>
        <color theme="1"/>
        <rFont val="Calibri"/>
        <family val="2"/>
        <charset val="238"/>
        <scheme val="minor"/>
      </rPr>
      <t xml:space="preserve">
W arkuszu tym można uzyskać wartości oddziaływania wiatru z uwzględnieniem usytuowania budynku względem stron świata, różnych kategorii terenu w poszczególnych kierunkach lub z uwzględnieniem wpływu sąsiedniej zabudowy.
Komórki arkusza wymagające wstawienia wartości, sprawdzenia wartości przyjętej albo dokonania wyboru z listy rozwijanej, wyróżniono kolorem szarym.
W celu przeprowadzenia obliczeń oddziaływania (ssania) wiatru na ściany budynku (</t>
    </r>
    <r>
      <rPr>
        <b/>
        <sz val="11"/>
        <color theme="1"/>
        <rFont val="Calibri"/>
        <family val="2"/>
        <charset val="238"/>
        <scheme val="minor"/>
      </rPr>
      <t>w</t>
    </r>
    <r>
      <rPr>
        <b/>
        <sz val="8"/>
        <color theme="1"/>
        <rFont val="Calibri"/>
        <family val="2"/>
        <charset val="238"/>
        <scheme val="minor"/>
      </rPr>
      <t>e,d</t>
    </r>
    <r>
      <rPr>
        <sz val="11"/>
        <color theme="1"/>
        <rFont val="Calibri"/>
        <family val="2"/>
        <charset val="238"/>
        <scheme val="minor"/>
      </rPr>
      <t>), należy:
- wybrać z listy rozwijanej strefę obciążenia wiatrem w Polsce, właściwą lokalizacji rozpatrywanego budynku. Możliwy jest wybór zasadniczej strefy (1, 2 albo 3), a także strefy pośredniej pomiędzy strefami 1 i 2, obejmującej pas o szerokości 10 km po obu stronach granicy stref (zgodnie z zapisem w Załączniku krajowym NA normy PN-EN 1991-1-4:2008),
- przyjąć wysokość nad poziomem morza miejsca lokalizacji rozpatrywanego budynku. Wysokość tą można określić wykorzystując np. stronę internetową: http://www.wysokosc.mapa.info.pl/
- przyjąć kąt odchylenia (zgodnie z ruchem wskazówek zegara) wybranej osi budynku od kierunku północnego. Kierunek ten równocześnie wyznaczy pierwszy rozpatrywany kierunek oddziaływania wiatru. Możliwe jest przyjęcie kąta od 0 do 360°, ale w praktyce, po osiągnięciu albo przekroczeniu kąta 90°, bliższa kierunkowi północnemu będzie druga oś budynku,
- wybrać z listy rozwijanej kategorię terenu dla każdego z czterech zasadniczych kierunków wiatru, biorąc pod uwagę sektor kątowy o rozwartości 30°, obejmujący rozpatrywany kierunek. Zgodnie z zapisem w Załączniku krajowym NA normy PN-EN 1991-1-4:2008, warunkiem zakwalifikowania terenu do określonej kategorii jest minimalna odległość od rozpatrywanej budowli do granicy terenu przyjętej kategorii, mierzona pod wiatr; powinna być ona nie mniejsza niż 30</t>
    </r>
    <r>
      <rPr>
        <sz val="11"/>
        <color theme="1"/>
        <rFont val="Calibri"/>
        <family val="2"/>
        <charset val="238"/>
      </rPr>
      <t>∙</t>
    </r>
    <r>
      <rPr>
        <sz val="11"/>
        <color theme="1"/>
        <rFont val="Calibri"/>
        <family val="2"/>
        <charset val="238"/>
        <scheme val="minor"/>
      </rPr>
      <t>h, gdzie h jest wysokością budynku. Jeżeli budynek o wysokości h jest usytuowany bliżej niż 30</t>
    </r>
    <r>
      <rPr>
        <sz val="11"/>
        <color theme="1"/>
        <rFont val="Calibri"/>
        <family val="2"/>
        <charset val="238"/>
      </rPr>
      <t>∙</t>
    </r>
    <r>
      <rPr>
        <sz val="11"/>
        <color theme="1"/>
        <rFont val="Calibri"/>
        <family val="2"/>
        <charset val="238"/>
        <scheme val="minor"/>
      </rPr>
      <t xml:space="preserve">h od początku terenu kategorii niższej niż ta, która go bezpośrednio otacza, to należy przyjmować, że jest zlokalizowany na terenie kategorii niższej; odległości te należy wyznaczyć dla każdego z rozpatrywanych kierunków wiatru,
- przyjąć wysokość rozpatrywanego budynku, </t>
    </r>
    <r>
      <rPr>
        <b/>
        <sz val="11"/>
        <color theme="1"/>
        <rFont val="Calibri"/>
        <family val="2"/>
        <charset val="238"/>
        <scheme val="minor"/>
      </rPr>
      <t>h</t>
    </r>
    <r>
      <rPr>
        <sz val="11"/>
        <color theme="1"/>
        <rFont val="Calibri"/>
        <family val="2"/>
        <charset val="238"/>
        <scheme val="minor"/>
      </rPr>
      <t>,
- przyjąć szerokość (jeden z wymiarów rzutu) rozpatrywanego budynki,</t>
    </r>
    <r>
      <rPr>
        <b/>
        <sz val="11"/>
        <color theme="1"/>
        <rFont val="Calibri"/>
        <family val="2"/>
        <charset val="238"/>
        <scheme val="minor"/>
      </rPr>
      <t xml:space="preserve"> b</t>
    </r>
    <r>
      <rPr>
        <sz val="11"/>
        <color theme="1"/>
        <rFont val="Calibri"/>
        <family val="2"/>
        <charset val="238"/>
        <scheme val="minor"/>
      </rPr>
      <t xml:space="preserve">,
- przyjąć głębokość (drugi z wymiarów rzutu) rozpatrywanego budynku, </t>
    </r>
    <r>
      <rPr>
        <b/>
        <sz val="11"/>
        <color theme="1"/>
        <rFont val="Calibri"/>
        <family val="2"/>
        <charset val="238"/>
        <scheme val="minor"/>
      </rPr>
      <t>d</t>
    </r>
    <r>
      <rPr>
        <sz val="11"/>
        <color theme="1"/>
        <rFont val="Calibri"/>
        <family val="2"/>
        <charset val="238"/>
        <scheme val="minor"/>
      </rPr>
      <t xml:space="preserve">,
- przyjąć wg listy rozwijanej wysokość odniesienia, do obliczeń oddziaływania wiatru. Zgodnie z zapisem normowym zaleca się, aby za wysokość odniesienia przyjąć wysokość budynku. Jeśli jednak w indywidualnym projekcie budynku podano, że rozkład oddziaływania wiatru na ścianach bocznych i zawietrznej może być taki sam, jak na ścianie nawietrznej, istnieje możliwość przyjęcia innych wysokości odniesienia, zależnie od proporcji h/b. Dlatego też lista rozwijana zmienia się w zależności od wymiarów h i b. Z opcji "ze = ?, wpisz tu wartość" należy skorzystać w przypadku przyjęcia wysokości pośredniej między ze = b oraz ze = h-b,
- w przypadku przyjęcia terenu kategorii IV, rozważyć możliwość zmniejszenia wysokości odniesienia poprzez przyjęcie tzw. wysokości przemieszczenia, </t>
    </r>
    <r>
      <rPr>
        <b/>
        <sz val="11"/>
        <color theme="1"/>
        <rFont val="Calibri"/>
        <family val="2"/>
        <charset val="238"/>
        <scheme val="minor"/>
      </rPr>
      <t>h</t>
    </r>
    <r>
      <rPr>
        <b/>
        <sz val="8"/>
        <color theme="1"/>
        <rFont val="Calibri"/>
        <family val="2"/>
        <charset val="238"/>
        <scheme val="minor"/>
      </rPr>
      <t>dis</t>
    </r>
    <r>
      <rPr>
        <sz val="11"/>
        <color theme="1"/>
        <rFont val="Calibri"/>
        <family val="2"/>
        <charset val="238"/>
        <scheme val="minor"/>
      </rPr>
      <t xml:space="preserve">. Wysokość tą można obliczyć w arkuszu „Wysokość przemieszczenia”,
- w przypadku lokalizacji budynku na stoku albo w pobliżu wierzchołka stoku: klifu, skarpy, pojedynczego wzgórza albo pasma wzgórz, przyjąć w zależności od kierunku odpowiednią wartość współczynnika rzeźby terenu (orografii). W celu obliczenia wartości współczynnika orografii, można posłużyć się na przykład arkuszami kalkulacyjnymi dołączonymi do książki: J.A. Żurański, M. Gaczek, Projektowanie według Eurokodów -- Oddziaływania klimatyczne na konstrukcje budowlane według Eurokodu 1 -- Komentarze z przykładami obliczeń; Instytut Techniki Budowlanej, Warszawa 2011. W pozostałych przypadkach, pozostawić wartość równą 1,0,
- wybrać z listy rozwijanej, przyjmowaną do dalszych obliczeń wartość szczytowego ciśnienia prędkości wiatru. Możliwy jest wybór spośród trzech wartości, obliczonych wg:
-- zasadniczej części normy PN-EN 1991-1-4:2008 (oznaczenie </t>
    </r>
    <r>
      <rPr>
        <b/>
        <sz val="11"/>
        <color theme="1"/>
        <rFont val="Calibri"/>
        <family val="2"/>
        <charset val="238"/>
        <scheme val="minor"/>
      </rPr>
      <t>EN</t>
    </r>
    <r>
      <rPr>
        <sz val="11"/>
        <color theme="1"/>
        <rFont val="Calibri"/>
        <family val="2"/>
        <charset val="238"/>
        <scheme val="minor"/>
      </rPr>
      <t xml:space="preserve">),
-- Załącznika krajowego, przy wykorzystaniu współczynnika chropowatości terenu, z możliwością przyjęcia odpowiedniej wartości współczynnika orografii (oznaczenie </t>
    </r>
    <r>
      <rPr>
        <b/>
        <sz val="11"/>
        <color theme="1"/>
        <rFont val="Calibri"/>
        <family val="2"/>
        <charset val="238"/>
        <scheme val="minor"/>
      </rPr>
      <t>NA, co ≥ 1</t>
    </r>
    <r>
      <rPr>
        <sz val="11"/>
        <color theme="1"/>
        <rFont val="Calibri"/>
        <family val="2"/>
        <charset val="238"/>
        <scheme val="minor"/>
      </rPr>
      <t xml:space="preserve">),
-- Załącznika krajowego, przy wykorzystaniu współczynnika ekspozycji, bez możliwości przyjęcia wartości współczynnika orografii większej od 1,0 (oznaczenie </t>
    </r>
    <r>
      <rPr>
        <b/>
        <sz val="11"/>
        <color theme="1"/>
        <rFont val="Calibri"/>
        <family val="2"/>
        <charset val="238"/>
        <scheme val="minor"/>
      </rPr>
      <t>NA, co = 1</t>
    </r>
    <r>
      <rPr>
        <sz val="11"/>
        <color theme="1"/>
        <rFont val="Calibri"/>
        <family val="2"/>
        <charset val="238"/>
        <scheme val="minor"/>
      </rPr>
      <t xml:space="preserve">),
- przyjąć wg listy rozwijanej wartości współczynnika ciśnienia zewnętrznego. Możliwy jest wybór spośród dwóch wartości domyślnych, a także przyjęcie innej wartości. Wartości domyślne to:
-- wartości podstawowe, przyjmowane na podstawie normy PN-EN 1991-1-4:2008,
-- wartości maksymalne przy zwężce, przyjmowane w nawiązaniu do Załącznika krajowego (NA) do normy BS EN 1991-1-4:2005+A1:2010.
Wartości maksymalne przy zwężce można przyjąć, gdy odległość między rozpatrywanym budynkiem, a budynkiem sąsiednim, mierzona prostopadle do rozpatrywanego średniego kierunku wiatru jest &gt; e/4 i &lt; e, gdzie e to wymiar mniejszy z dwóch: e=b albo 2h. W przypadku budynków o różnej wartości e, należy rozpatrywać wartość mniejszą. Przyjęcie wartości maksymalnej przy zwężce uwzględniane jest na obu ścianach równoległych do rozpatrywanego średniego kierunku wiatru. Jeśli efekt zwężki dotyczy tylko jednej z tych ścian, obliczenia należy wykonać dwukrotnie i wybrać ścianę podlegającą większemu oddziaływaniu wiatru w wyniku zwężenia przepływu,
- sprawdzić i ewentualnie skorygować aktualnie obowiązującą wartość częściowego współczynnika bezpieczeństwa, podaną w PN-EN 1990,
- w uzasadnionym przypadku, przyjąć wartość dodatkowego obciążenia prostopadłego do powierzchni.
</t>
    </r>
    <r>
      <rPr>
        <b/>
        <sz val="11"/>
        <color theme="1"/>
        <rFont val="Calibri"/>
        <family val="2"/>
        <charset val="238"/>
        <scheme val="minor"/>
      </rPr>
      <t>Wyniki obliczeń pośrednich, mogących mieć znaczenie przy rozpatrywaniu oddziaływania wiatru, pokazane są w komórkach arkusza wyróżnionych kolorem jasnozielonym. Kolorem tym oznaczono także cztery przypadki oddziaływania wiatru.
Wyniki obliczeń końcowych, pokazane są w komórkach arkusza wyróżnionych kolorem zielonym. Są to:
- szerokości poszczególnych pól obciążenia ścian, przy oddziaływaniu wiatru z jednego kierunku,
- wartości obliczeniowe podciśnienia (ssania) wiatru, w poszczególnych polach ścian, przy oddziaływaniu wiatru na ścianę o szerokości b, we,d,
Wyniki końcowe, uwzględniające wszystkie cztery rozpatrywane kierunki wiatru, przedstawiono graficznie w zakładce „Wyniki graficzne wiatr II”.</t>
    </r>
  </si>
  <si>
    <t>Określenie liczby łączników mechanicznych ze względu na nośność, przy oddziaływaniu wiatru I albo wiatru II</t>
  </si>
  <si>
    <r>
      <t>Określenie przemieszczenia δ</t>
    </r>
    <r>
      <rPr>
        <b/>
        <sz val="10"/>
        <rFont val="Calibri"/>
        <family val="2"/>
        <charset val="238"/>
        <scheme val="minor"/>
      </rPr>
      <t>N</t>
    </r>
    <r>
      <rPr>
        <b/>
        <sz val="14"/>
        <rFont val="Calibri"/>
        <family val="2"/>
        <charset val="238"/>
        <scheme val="minor"/>
      </rPr>
      <t xml:space="preserve"> w miejscu występowania łącznika, przy działaniu wiatru I albo wiatru II</t>
    </r>
  </si>
  <si>
    <r>
      <t>Określenie przemieszczenia δ</t>
    </r>
    <r>
      <rPr>
        <b/>
        <sz val="8"/>
        <color theme="1"/>
        <rFont val="Calibri"/>
        <family val="2"/>
        <charset val="238"/>
        <scheme val="minor"/>
      </rPr>
      <t>N</t>
    </r>
    <r>
      <rPr>
        <b/>
        <sz val="16"/>
        <color theme="1"/>
        <rFont val="Calibri"/>
        <family val="2"/>
        <charset val="238"/>
        <scheme val="minor"/>
      </rPr>
      <t xml:space="preserve"> w miejscu występowania łącznika, przy działaniu wiatru II</t>
    </r>
  </si>
  <si>
    <r>
      <t>Określenie przemieszczenia δ</t>
    </r>
    <r>
      <rPr>
        <b/>
        <sz val="8"/>
        <color theme="1"/>
        <rFont val="Calibri"/>
        <family val="2"/>
        <charset val="238"/>
        <scheme val="minor"/>
      </rPr>
      <t>N</t>
    </r>
    <r>
      <rPr>
        <b/>
        <sz val="16"/>
        <color theme="1"/>
        <rFont val="Calibri"/>
        <family val="2"/>
        <charset val="238"/>
        <scheme val="minor"/>
      </rPr>
      <t xml:space="preserve"> w miejscu występowania łącznika, przy działaniu wiatru  I</t>
    </r>
  </si>
  <si>
    <r>
      <rPr>
        <b/>
        <sz val="11"/>
        <color theme="1"/>
        <rFont val="Calibri"/>
        <family val="2"/>
        <charset val="238"/>
        <scheme val="minor"/>
      </rPr>
      <t xml:space="preserve">Obliczenia wykonuje się w arkuszach kalkulacyjnych o nazwach: „Przemieszczenia wiatr I” albo „Przemieszczenia wiatr II”. </t>
    </r>
    <r>
      <rPr>
        <sz val="11"/>
        <color theme="1"/>
        <rFont val="Calibri"/>
        <family val="2"/>
        <charset val="238"/>
        <scheme val="minor"/>
      </rPr>
      <t xml:space="preserve">
Należy wybrać odpowiedni arkusz kalkulacyjny w zależności od przyjętego wcześniej wariantu oddziaływania wiatru („Obliczenia wiatr I” albo „Obliczenia wiatr II”).
Komórki arkusza wymagające wstawienia wartości, wyróżniono kolorem szarym.
W celu przeprowadzenia obliczeń wymaganej liczby łączników ze względu na przemieszczenie w miejscu występowania łącznika, należy:
- na podstawie dokumentu ETA (Europejskiej Aprobaty Technicznej, a po jej wygaśnięciu – Europejskiej Oceny Technicznej) albo karty technicznej wybranego wcześniej łącznika, przyjąć wartość przemieszczenia </t>
    </r>
    <r>
      <rPr>
        <b/>
        <sz val="11"/>
        <color theme="1"/>
        <rFont val="Calibri"/>
        <family val="2"/>
        <charset val="238"/>
        <scheme val="minor"/>
      </rPr>
      <t>δ</t>
    </r>
    <r>
      <rPr>
        <b/>
        <sz val="8"/>
        <color theme="1"/>
        <rFont val="Calibri"/>
        <family val="2"/>
        <charset val="238"/>
        <scheme val="minor"/>
      </rPr>
      <t>m</t>
    </r>
    <r>
      <rPr>
        <sz val="11"/>
        <color theme="1"/>
        <rFont val="Calibri"/>
        <family val="2"/>
        <charset val="238"/>
        <scheme val="minor"/>
      </rPr>
      <t xml:space="preserve">, w zależności od rodzaju podłoża, w którym łączniki będą osadzone,
- na podstawie dokumentu ETA (Europejskiej Aprobaty Technicznej, a po jej wygaśnięciu – Europejskiej Oceny Technicznej) albo karty technicznej wybranego wcześniej łącznika, przyjąć wartość siły wyrywajacej </t>
    </r>
    <r>
      <rPr>
        <b/>
        <sz val="11"/>
        <color theme="1"/>
        <rFont val="Calibri"/>
        <family val="2"/>
        <charset val="238"/>
        <scheme val="minor"/>
      </rPr>
      <t>N</t>
    </r>
    <r>
      <rPr>
        <sz val="11"/>
        <color theme="1"/>
        <rFont val="Calibri"/>
        <family val="2"/>
        <charset val="238"/>
        <scheme val="minor"/>
      </rPr>
      <t xml:space="preserve">, w zależności od rodzaju podłoża, w którym łączniki będą osadzone,
- przyjąć wartość przemieszczenia granicznego </t>
    </r>
    <r>
      <rPr>
        <b/>
        <sz val="11"/>
        <color theme="1"/>
        <rFont val="Calibri"/>
        <family val="2"/>
        <charset val="238"/>
        <scheme val="minor"/>
      </rPr>
      <t>δ</t>
    </r>
    <r>
      <rPr>
        <b/>
        <sz val="8"/>
        <color theme="1"/>
        <rFont val="Calibri"/>
        <family val="2"/>
        <charset val="238"/>
        <scheme val="minor"/>
      </rPr>
      <t>N</t>
    </r>
    <r>
      <rPr>
        <sz val="11"/>
        <color theme="1"/>
        <rFont val="Calibri"/>
        <family val="2"/>
        <charset val="238"/>
        <scheme val="minor"/>
      </rPr>
      <t xml:space="preserve"> (w miejscu występowania łącznika). Wartością sugerowaną, wynikajacą z zapisów normy ÖNORM B 6400‐2:2017‐09 jest </t>
    </r>
    <r>
      <rPr>
        <sz val="11"/>
        <color theme="1"/>
        <rFont val="Calibri"/>
        <family val="2"/>
        <charset val="238"/>
      </rPr>
      <t>⅓ mm.</t>
    </r>
    <r>
      <rPr>
        <sz val="11"/>
        <color theme="1"/>
        <rFont val="Calibri"/>
        <family val="2"/>
        <charset val="238"/>
        <scheme val="minor"/>
      </rPr>
      <t xml:space="preserve">
</t>
    </r>
    <r>
      <rPr>
        <b/>
        <sz val="11"/>
        <color theme="1"/>
        <rFont val="Calibri"/>
        <family val="2"/>
        <charset val="238"/>
        <scheme val="minor"/>
      </rPr>
      <t>Wyniki obliczeń pokazane są w formie pseudograficznej dla poszczególnych pól ścian. Są to:</t>
    </r>
    <r>
      <rPr>
        <sz val="11"/>
        <color theme="1"/>
        <rFont val="Calibri"/>
        <family val="2"/>
        <charset val="238"/>
        <scheme val="minor"/>
      </rPr>
      <t xml:space="preserve">
</t>
    </r>
    <r>
      <rPr>
        <b/>
        <sz val="11"/>
        <color theme="1"/>
        <rFont val="Calibri"/>
        <family val="2"/>
        <charset val="238"/>
        <scheme val="minor"/>
      </rPr>
      <t>- przemieszczenie w miejscu występowania łącznika, obliczone przy założeniu równego rozdzielenia oddziaływania wiatru na łączniki, których liczbę określono ze względu na nośność,
- minimalną wymaganą liczbę łączników przypadających na 1 m², z uwagi na nieprzekroczenie wartości przemieszczenia granicznego.</t>
    </r>
  </si>
  <si>
    <t>Wymagana liczba łączników ze względu na nośność i przemieszczenie, przy oddziaływaniu wiatru I albo wiatru II</t>
  </si>
  <si>
    <r>
      <rPr>
        <b/>
        <sz val="11"/>
        <color theme="1"/>
        <rFont val="Calibri"/>
        <family val="2"/>
        <charset val="238"/>
        <scheme val="minor"/>
      </rPr>
      <t xml:space="preserve">Końcowe wyniki obliczeń pokazane są w arkuszach o nazwach: „Wyniki końcowe wiatr I” albo „Wyniki końcowe wiatr II”. </t>
    </r>
    <r>
      <rPr>
        <sz val="11"/>
        <color theme="1"/>
        <rFont val="Calibri"/>
        <family val="2"/>
        <charset val="238"/>
        <scheme val="minor"/>
      </rPr>
      <t xml:space="preserve">
Należy wybrać odpowiedni arkusz w zależności od przyjętego wcześniej wariantu oddziaływania wiatru („Obliczenia wiatr I” albo „Obliczenia wiatr II”).
W górnej części arkuszy podane są przyjęte wcześniej warunki obliczeń:
- rozpatrywany układ łączników (mocowanie na „T”, „W” albo „H”),
- minimalna liczba łączników przypadających na 1 m² powierzchni systemu ETICS,
- przemieszczenie graniczne w miejscu występowania łącznika.
</t>
    </r>
    <r>
      <rPr>
        <b/>
        <sz val="11"/>
        <color theme="1"/>
        <rFont val="Calibri"/>
        <family val="2"/>
        <charset val="238"/>
        <scheme val="minor"/>
      </rPr>
      <t>Wyniki obliczeń pokazane są w formie pseudograficznej dla poszczególnych pól ścian. Są to:</t>
    </r>
    <r>
      <rPr>
        <sz val="11"/>
        <color theme="1"/>
        <rFont val="Calibri"/>
        <family val="2"/>
        <charset val="238"/>
        <scheme val="minor"/>
      </rPr>
      <t xml:space="preserve">
</t>
    </r>
    <r>
      <rPr>
        <b/>
        <sz val="11"/>
        <color theme="1"/>
        <rFont val="Calibri"/>
        <family val="2"/>
        <charset val="238"/>
        <scheme val="minor"/>
      </rPr>
      <t>- wymagana, ze wzgledu na nośność i przemieszczenie, liczba łączników przypadających na 1 m² ocieplenia,
- numer schematu mocowania łącznikami, określony w odpowiednim arkuszu: „Obliczenia nośności T”, „Obliczenia nośności W” albo „Obliczenia nośności H” (numery podane są w górnej części każdego z arkuszy).</t>
    </r>
    <r>
      <rPr>
        <sz val="11"/>
        <color theme="1"/>
        <rFont val="Calibri"/>
        <family val="2"/>
        <charset val="238"/>
        <scheme val="minor"/>
      </rPr>
      <t xml:space="preserve">
Jeśli z jakichś względów sugerowany schemat mocowania nie jest odpowiedni, można wybrać inny, spełniający warunek wymaganej liczby łączników.</t>
    </r>
  </si>
  <si>
    <r>
      <rPr>
        <b/>
        <sz val="11"/>
        <color theme="1"/>
        <rFont val="Calibri"/>
        <family val="2"/>
        <charset val="238"/>
        <scheme val="minor"/>
      </rPr>
      <t xml:space="preserve">Obliczenia wykonuje się w arkuszach kalkulacyjnych o nazwach: „Łączniki wiatr I” albo „Łączniki wiatr II”. </t>
    </r>
    <r>
      <rPr>
        <sz val="11"/>
        <color theme="1"/>
        <rFont val="Calibri"/>
        <family val="2"/>
        <charset val="238"/>
        <scheme val="minor"/>
      </rPr>
      <t xml:space="preserve">
Należy wybrać odpowiedni arkusz kalkulacyjny w zależności od przyjętego wcześniej wariantu oddziaływania wiatru („Obliczenia wiatr I” albo „Obliczenia wiatr II”).
Komórki arkusza wymagające wstawienia wartości albo dokonania wyboru z listy rozwijanej, wyróżniono kolorem szarym.
W celu przeprowadzenia obliczeń wymaganej liczby łączników ze względu na nośność, należy:
- wybrać z listy rozwijanej rozpatrywany układ łączników (mocowanie na „T”, „W” albo „H”),
- przyjąć minimalną liczbę łączników przypadających na 1 m² powierzchni systemu ETICS,
- przyjąć dopuszczalne niedoszacowanie nośności (najczęściej do 3%) albo wpisać 0, jeśli nie dopuszcza się przekroczenia nośności.
</t>
    </r>
    <r>
      <rPr>
        <b/>
        <sz val="11"/>
        <color theme="1"/>
        <rFont val="Calibri"/>
        <family val="2"/>
        <charset val="238"/>
        <scheme val="minor"/>
      </rPr>
      <t>Wyniki obliczeń pokazane są w formie pseudograficznej dla poszczególnych pól ścian. Są to:</t>
    </r>
    <r>
      <rPr>
        <sz val="11"/>
        <color theme="1"/>
        <rFont val="Calibri"/>
        <family val="2"/>
        <charset val="238"/>
        <scheme val="minor"/>
      </rPr>
      <t xml:space="preserve">
</t>
    </r>
    <r>
      <rPr>
        <b/>
        <sz val="11"/>
        <color theme="1"/>
        <rFont val="Calibri"/>
        <family val="2"/>
        <charset val="238"/>
        <scheme val="minor"/>
      </rPr>
      <t>- wymagana liczba łączników przypadających na 1 m² ocieplenia, n,
- numer schematu mocowania łącznikami, określony w odpowiednim arkuszu: „Obliczenia nośności T”, „Obliczenia nośności W” albo „Obliczenia nośności H” (numery podane są w górnej części każdego z arkuszy).</t>
    </r>
    <r>
      <rPr>
        <sz val="11"/>
        <color theme="1"/>
        <rFont val="Calibri"/>
        <family val="2"/>
        <charset val="238"/>
        <scheme val="minor"/>
      </rPr>
      <t xml:space="preserve">
Jeśli z jakichś względów sugerowany schemat mocowania nie jest odpowiedni, można wybrać inny, spełniający warunek wymaganej liczby łączników.
Jeżeli nie sprawdza się przemieszczenia w miejscu mocowania łącznika, obliczenia kończą się.</t>
    </r>
  </si>
  <si>
    <r>
      <rPr>
        <b/>
        <sz val="11"/>
        <color theme="1"/>
        <rFont val="Calibri"/>
        <family val="2"/>
        <charset val="238"/>
        <scheme val="minor"/>
      </rPr>
      <t xml:space="preserve">Obliczenia wykonuje się w arkuszach kalkulacyjnych o nazwach: „Obliczenia nośności T”, „Obliczenia nośności W” albo „Obliczenia nośności H”.
</t>
    </r>
    <r>
      <rPr>
        <sz val="11"/>
        <color theme="1"/>
        <rFont val="Calibri"/>
        <family val="2"/>
        <charset val="238"/>
        <scheme val="minor"/>
      </rPr>
      <t>Należy wybrać odpowiedni arkusz kalkulacyjny w zależności od przyjętego układu łączników (mocowanie na „T”, „W” albo „H”).
Komórki każdego arkusza wymagające wstawienia wartości albo sprawdzenia wartości przyjętej jako domyślna, wyróżniono kolorem szarym.
W celu przeprowadzenia obliczeń nośności układu łączników mechanicznych na wyrywanie z podłoża (</t>
    </r>
    <r>
      <rPr>
        <b/>
        <sz val="11"/>
        <color theme="1"/>
        <rFont val="Calibri"/>
        <family val="2"/>
        <charset val="238"/>
        <scheme val="minor"/>
      </rPr>
      <t>R</t>
    </r>
    <r>
      <rPr>
        <b/>
        <sz val="8"/>
        <color theme="1"/>
        <rFont val="Calibri"/>
        <family val="2"/>
        <charset val="238"/>
        <scheme val="minor"/>
      </rPr>
      <t>d,f</t>
    </r>
    <r>
      <rPr>
        <sz val="11"/>
        <color theme="1"/>
        <rFont val="Calibri"/>
        <family val="2"/>
        <charset val="238"/>
        <scheme val="minor"/>
      </rPr>
      <t>), nośności systemu ociepleń ETICS na przeciąganie przez łączniki (</t>
    </r>
    <r>
      <rPr>
        <b/>
        <sz val="11"/>
        <color theme="1"/>
        <rFont val="Calibri"/>
        <family val="2"/>
        <charset val="238"/>
        <scheme val="minor"/>
      </rPr>
      <t>R</t>
    </r>
    <r>
      <rPr>
        <b/>
        <sz val="8"/>
        <color theme="1"/>
        <rFont val="Calibri"/>
        <family val="2"/>
        <charset val="238"/>
        <scheme val="minor"/>
      </rPr>
      <t>d,ETICS</t>
    </r>
    <r>
      <rPr>
        <sz val="11"/>
        <color theme="1"/>
        <rFont val="Calibri"/>
        <family val="2"/>
        <charset val="238"/>
        <scheme val="minor"/>
      </rPr>
      <t>) oraz nośności miarodajnej (</t>
    </r>
    <r>
      <rPr>
        <b/>
        <sz val="11"/>
        <color theme="1"/>
        <rFont val="Calibri"/>
        <family val="2"/>
        <charset val="238"/>
        <scheme val="minor"/>
      </rPr>
      <t>R</t>
    </r>
    <r>
      <rPr>
        <b/>
        <sz val="8"/>
        <color theme="1"/>
        <rFont val="Calibri"/>
        <family val="2"/>
        <charset val="238"/>
        <scheme val="minor"/>
      </rPr>
      <t>d</t>
    </r>
    <r>
      <rPr>
        <sz val="11"/>
        <color theme="1"/>
        <rFont val="Calibri"/>
        <family val="2"/>
        <charset val="238"/>
        <scheme val="minor"/>
      </rPr>
      <t xml:space="preserve">) do sprawdzenia warunku pierwszego stanu granicznego, należy:
- przyjąć długość płyty z materiału termoizolacyjnego zastosowanego do wykonania ocieplenia,
- przyjąć szerokość płyty z materiału termoizolacyjnego zastosowanego do wykonania ocieplenia,
- w przypadku deklarowania własnego schematu rozmieszczenia łączników na płycie izolacyjnej, w zależności od przyjętego układu łączników przyjąć liczbę łączników umieszczonych w polu płyty, liczbę łączników umieszczonych przy obrzeżach płyty, liczbę łączników umieszczonych w spoinach,
- na podstawie dokumentu ETA (Europejskiej Aprobaty Technicznej, a po jej wygaśnięciu – Europejskiej Oceny Technicznej) albo karty technicznej, przyjąć wartość charakterystyczną nośności łącznika na wyrywanie, </t>
    </r>
    <r>
      <rPr>
        <b/>
        <sz val="11"/>
        <color theme="1"/>
        <rFont val="Calibri"/>
        <family val="2"/>
        <charset val="238"/>
        <scheme val="minor"/>
      </rPr>
      <t>N</t>
    </r>
    <r>
      <rPr>
        <b/>
        <sz val="8"/>
        <color theme="1"/>
        <rFont val="Calibri"/>
        <family val="2"/>
        <charset val="238"/>
        <scheme val="minor"/>
      </rPr>
      <t>R,k</t>
    </r>
    <r>
      <rPr>
        <sz val="11"/>
        <color theme="1"/>
        <rFont val="Calibri"/>
        <family val="2"/>
        <charset val="238"/>
        <scheme val="minor"/>
      </rPr>
      <t xml:space="preserve">, w zależności od producenta i typu łącznika oraz rodzaju podłoża, w którym będzie osadzony. Należy przyjmować łączniki wyszczególnione w dokumencie ETA, wydanym dla danego systemu ociepleń,
- sprawdzić i ewentualnie skorygować aktualnie obowiązującą krajową wartość częściowego współczynnika bezpieczeństwa przy wyrywaniu łącznika z podłoża; wartość wynikająca z dokumentu EAD 330196-01-0604 to 2,0,
- na podstawie dokumentu ETA, dokumentu DoP albo karty technicznej systemu ociepleń ETICS, przyjąć wartość charakterystyczną nośności systemu (siłę niszczącą, siłę maksymalną) z uwagi na przeciąganie przez łącznik umieszczony w polu płyty, </t>
    </r>
    <r>
      <rPr>
        <b/>
        <sz val="11"/>
        <color theme="1"/>
        <rFont val="Calibri"/>
        <family val="2"/>
        <charset val="238"/>
        <scheme val="minor"/>
      </rPr>
      <t>F</t>
    </r>
    <r>
      <rPr>
        <b/>
        <sz val="8"/>
        <color theme="1"/>
        <rFont val="Calibri"/>
        <family val="2"/>
        <charset val="238"/>
        <scheme val="minor"/>
      </rPr>
      <t>k,a</t>
    </r>
    <r>
      <rPr>
        <sz val="11"/>
        <color theme="1"/>
        <rFont val="Calibri"/>
        <family val="2"/>
        <charset val="238"/>
        <scheme val="minor"/>
      </rPr>
      <t xml:space="preserve"> (</t>
    </r>
    <r>
      <rPr>
        <b/>
        <sz val="11"/>
        <color theme="1"/>
        <rFont val="Calibri"/>
        <family val="2"/>
        <charset val="238"/>
        <scheme val="minor"/>
      </rPr>
      <t>R</t>
    </r>
    <r>
      <rPr>
        <b/>
        <sz val="8"/>
        <color theme="1"/>
        <rFont val="Calibri"/>
        <family val="2"/>
        <charset val="238"/>
        <scheme val="minor"/>
      </rPr>
      <t>panel</t>
    </r>
    <r>
      <rPr>
        <sz val="11"/>
        <color theme="1"/>
        <rFont val="Calibri"/>
        <family val="2"/>
        <charset val="238"/>
        <scheme val="minor"/>
      </rPr>
      <t xml:space="preserve">), w zależności od: producenta systemu, rodzaju materiału termoizolacyjnego, jego grubości i wytrzymałości TR na rozciąganie prostopadle do powierzchni (względnie naprężenia ściskającego CS przy 10 % odkształceniu), sposobu montażu łączników (powierzchniowego albo zagłębionego), średnicy i sztywności talerzyka łącznika (jeśli podano),
- w przypadku położenia łączników przy obrzeżu płyty - krawędzi albo narożu (patrz rysunek w arkuszu Rozmieszczenie łaczników) - na podstawie dokumentu ETA, dokumentu DoP albo karty technicznej systemu ociepleń ETICS, przyjąć wartość charakterystyczną nośności systemu (siłę niszczącą, siłę maksymalną) z uwagi na przeciąganie przez łącznik umieszczony przy obrzeżu, </t>
    </r>
    <r>
      <rPr>
        <b/>
        <sz val="11"/>
        <color theme="1"/>
        <rFont val="Calibri"/>
        <family val="2"/>
        <charset val="238"/>
        <scheme val="minor"/>
      </rPr>
      <t>F</t>
    </r>
    <r>
      <rPr>
        <b/>
        <sz val="8"/>
        <color theme="1"/>
        <rFont val="Calibri"/>
        <family val="2"/>
        <charset val="238"/>
        <scheme val="minor"/>
      </rPr>
      <t>k,ec</t>
    </r>
    <r>
      <rPr>
        <sz val="11"/>
        <color theme="1"/>
        <rFont val="Calibri"/>
        <family val="2"/>
        <charset val="238"/>
        <scheme val="minor"/>
      </rPr>
      <t xml:space="preserve">, w zależności od: producenta systemu, rodzaju materiału termoizolacyjnego, jego grubości i wytrzymałości TR na rozciąganie prostopadle do powierzchni (względnie naprężenia ściskającego CS przy 10 % odkształceniu), sposobu montażu łączników (powierzchniowego albo zagłębionego), średnicy i sztywności talerzyka łącznika (jeśli podano); postępowaniem zachowawczym jest przyjęcie wartości jak dla łączników umieszczonych w spoinach, </t>
    </r>
    <r>
      <rPr>
        <b/>
        <sz val="11"/>
        <color theme="1"/>
        <rFont val="Calibri"/>
        <family val="2"/>
        <charset val="238"/>
        <scheme val="minor"/>
      </rPr>
      <t>F</t>
    </r>
    <r>
      <rPr>
        <b/>
        <sz val="8"/>
        <color theme="1"/>
        <rFont val="Calibri"/>
        <family val="2"/>
        <charset val="238"/>
        <scheme val="minor"/>
      </rPr>
      <t>k,j</t>
    </r>
    <r>
      <rPr>
        <sz val="11"/>
        <color theme="1"/>
        <rFont val="Calibri"/>
        <family val="2"/>
        <charset val="238"/>
        <scheme val="minor"/>
      </rPr>
      <t xml:space="preserve"> (</t>
    </r>
    <r>
      <rPr>
        <b/>
        <sz val="11"/>
        <color theme="1"/>
        <rFont val="Calibri"/>
        <family val="2"/>
        <charset val="238"/>
        <scheme val="minor"/>
      </rPr>
      <t>R</t>
    </r>
    <r>
      <rPr>
        <b/>
        <sz val="8"/>
        <color theme="1"/>
        <rFont val="Calibri"/>
        <family val="2"/>
        <charset val="238"/>
        <scheme val="minor"/>
      </rPr>
      <t>joint</t>
    </r>
    <r>
      <rPr>
        <sz val="11"/>
        <color theme="1"/>
        <rFont val="Calibri"/>
        <family val="2"/>
        <charset val="238"/>
        <scheme val="minor"/>
      </rPr>
      <t xml:space="preserve">),
- na podstawie dokumentu ETA, dokumentu DoP albo karty technicznej systemu ociepleń ETICS, przyjąć wartość charakterystyczną nośności systemu (siłę niszczącą, siłę maksymalną) z uwagi na przeciąganie przez łącznik umieszczony w stykach płyt (spoinach), </t>
    </r>
    <r>
      <rPr>
        <b/>
        <sz val="11"/>
        <color theme="1"/>
        <rFont val="Calibri"/>
        <family val="2"/>
        <charset val="238"/>
        <scheme val="minor"/>
      </rPr>
      <t>F</t>
    </r>
    <r>
      <rPr>
        <b/>
        <sz val="8"/>
        <color theme="1"/>
        <rFont val="Calibri"/>
        <family val="2"/>
        <charset val="238"/>
        <scheme val="minor"/>
      </rPr>
      <t>k,j</t>
    </r>
    <r>
      <rPr>
        <sz val="11"/>
        <color theme="1"/>
        <rFont val="Calibri"/>
        <family val="2"/>
        <charset val="238"/>
        <scheme val="minor"/>
      </rPr>
      <t xml:space="preserve"> (</t>
    </r>
    <r>
      <rPr>
        <b/>
        <sz val="11"/>
        <color theme="1"/>
        <rFont val="Calibri"/>
        <family val="2"/>
        <charset val="238"/>
        <scheme val="minor"/>
      </rPr>
      <t>R</t>
    </r>
    <r>
      <rPr>
        <b/>
        <sz val="8"/>
        <color theme="1"/>
        <rFont val="Calibri"/>
        <family val="2"/>
        <charset val="238"/>
        <scheme val="minor"/>
      </rPr>
      <t>joint</t>
    </r>
    <r>
      <rPr>
        <sz val="11"/>
        <color theme="1"/>
        <rFont val="Calibri"/>
        <family val="2"/>
        <charset val="238"/>
        <scheme val="minor"/>
      </rPr>
      <t xml:space="preserve">), w zależności od: producenta systemu, rodzaju materiału termoizolacyjnego, jego grubości i wytrzymałości TR na rozciąganie prostopadle do powierzchni (względnie naprężenia ściskającego CS przy 10 % odkształceniu), sposobu montażu łączników (powierzchniowego albo zagłębionego), średnicy i sztywności talerzyka łącznika (jeśli podano),
- w zależności od rodzaju materiału termoizolacyjnego, przyjąć wartość częściowego współczynnika bezpieczeństwa przy przeciąganiu łącznika przez płytę izolacyjną. W normie prEN 17237:2018 zamieszczono następujące zapisy dotyczące wartości tego współczynnika:
• korek ekspandowany ICB - wartość deklarowana albo wartość domyślna bez sprawdzania, wynosząca 2,0,
• pianka fenolowa PF - wartość deklarowana albo wartość domyślna bez sprawdzania, wynosząca 2,0,
• polistyren ekspandowany EPS (styropian) - wartość deklarowana albo wartość domyślna bez sprawdzania, wynosząca 1,5,
• polistyren ekstrudowany XPS - wartość deklarowana albo wartość domyślna bez sprawdzania, wynosząca 1,5,
• szkło piankowe CG - wartość deklarowana albo wartość domyślna bez sprawdzania, wynosząca 1,5,
• sztywna pianka poliuretanowa PU - wartość deklarowana albo wartość domyślna bez sprawdzania, wynosząca 1,5,
• wełna mineralna MW - wartość deklarowana,
• włókno drzewne WF - 1,85.
</t>
    </r>
    <r>
      <rPr>
        <b/>
        <sz val="11"/>
        <color theme="1"/>
        <rFont val="Calibri"/>
        <family val="2"/>
        <charset val="238"/>
        <scheme val="minor"/>
      </rPr>
      <t>Wyniki obliczeń pokazane są w komórkach arkusza wyróżnionych kolorem żółtym, znajdujących się odpowiednio poniżej każdego schematu mocowania łącznikami. Są to:
- liczba łączników przypadających na 1 m² ocieplenia, n,
- wartość obliczeniowa nośności zespołu łączników na wyrywanie z podłoża, R</t>
    </r>
    <r>
      <rPr>
        <b/>
        <sz val="8"/>
        <color theme="1"/>
        <rFont val="Calibri"/>
        <family val="2"/>
        <charset val="238"/>
        <scheme val="minor"/>
      </rPr>
      <t>d,f</t>
    </r>
    <r>
      <rPr>
        <b/>
        <sz val="11"/>
        <color theme="1"/>
        <rFont val="Calibri"/>
        <family val="2"/>
        <charset val="238"/>
        <scheme val="minor"/>
      </rPr>
      <t>,
- wartość obliczeniowa nośności systemu ETICS na przeciąganie, R</t>
    </r>
    <r>
      <rPr>
        <b/>
        <sz val="8"/>
        <color theme="1"/>
        <rFont val="Calibri"/>
        <family val="2"/>
        <charset val="238"/>
        <scheme val="minor"/>
      </rPr>
      <t>d,ETICS</t>
    </r>
    <r>
      <rPr>
        <b/>
        <sz val="11"/>
        <color theme="1"/>
        <rFont val="Calibri"/>
        <family val="2"/>
        <charset val="238"/>
        <scheme val="minor"/>
      </rPr>
      <t>,
- wartość obliczeniowa nośności miarodajnej do sprawdzenia pierwszego stanu granicznego, R</t>
    </r>
    <r>
      <rPr>
        <b/>
        <sz val="8"/>
        <color theme="1"/>
        <rFont val="Calibri"/>
        <family val="2"/>
        <charset val="238"/>
        <scheme val="minor"/>
      </rPr>
      <t>d</t>
    </r>
    <r>
      <rPr>
        <b/>
        <sz val="11"/>
        <color theme="1"/>
        <rFont val="Calibri"/>
        <family val="2"/>
        <charset val="238"/>
        <scheme val="minor"/>
      </rPr>
      <t>.</t>
    </r>
  </si>
  <si>
    <t>UWAGA! Na każdej ścianie nie może jednocześnie wystąpić więcej niż jeden przypadek układu pól obciążenia. Zaleca się sprawdzenie, czy w poszczególnych kolumnach występuje tylko jedna wartość różna od zera. Występowanie kilku wartości różnych od zera, będzie świadczyć o błędzie w programie. W takiej sytuacji zaleca się nieznaczną zmianę wymiarów budynku.</t>
  </si>
  <si>
    <t>Wykorzystanie programu w jakimkolwiek zakresie możliwe jest na zasadzie cytowania - podając autora, nazwę i wersję (datę) programu. Zamieszczenie programu w całości albo we fragmencie na stronie internetowej innej niż strona Licencjobiorcy jest zabronione. Wprowadzanie w programie jakichkolwiek zmian bez pisemnej zgody autora jest zabronione.</t>
  </si>
  <si>
    <t xml:space="preserve">Właściciel licencji i autor nie biorą odpowiedzialności za decyzje podjęte przez użytkownika pod wpływem informacji uzyskanych w oparciu o program, jak również za prawidłowość działania programu oraz przydatność uzyskanych przy jego użyciu informacji. Wszelkie zapytania dotyczące funkcjonowania programu należy kierować wyłącznie do Stowarzyszenia Na Rzecz Systemów Ociepleń – SSO.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</si>
</sst>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00"/>
  </numFmts>
  <fonts count="47"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u/>
      <sz val="11"/>
      <color theme="10"/>
      <name val="Calibri"/>
      <family val="2"/>
      <charset val="238"/>
      <scheme val="minor"/>
    </font>
    <font>
      <sz val="11"/>
      <name val="Calibri"/>
      <family val="2"/>
      <charset val="238"/>
      <scheme val="minor"/>
    </font>
    <font>
      <sz val="8"/>
      <name val="Arial"/>
      <family val="2"/>
      <charset val="238"/>
    </font>
    <font>
      <b/>
      <sz val="10"/>
      <name val="Arial"/>
      <family val="2"/>
      <charset val="238"/>
    </font>
    <font>
      <sz val="10"/>
      <name val="Arial"/>
      <family val="2"/>
      <charset val="238"/>
    </font>
    <font>
      <sz val="8"/>
      <color theme="1"/>
      <name val="Arial"/>
      <family val="2"/>
      <charset val="238"/>
    </font>
    <font>
      <b/>
      <sz val="8"/>
      <color theme="1"/>
      <name val="Calibri"/>
      <family val="2"/>
      <charset val="238"/>
      <scheme val="minor"/>
    </font>
    <font>
      <b/>
      <sz val="14"/>
      <color theme="1"/>
      <name val="Calibri"/>
      <family val="2"/>
      <charset val="238"/>
      <scheme val="minor"/>
    </font>
    <font>
      <sz val="11"/>
      <color theme="1"/>
      <name val="Calibri"/>
      <family val="2"/>
      <charset val="238"/>
    </font>
    <font>
      <b/>
      <sz val="10"/>
      <color theme="1"/>
      <name val="Arial"/>
      <family val="2"/>
      <charset val="238"/>
    </font>
    <font>
      <sz val="10"/>
      <color theme="1"/>
      <name val="Arial"/>
      <family val="2"/>
      <charset val="238"/>
    </font>
    <font>
      <sz val="10"/>
      <color rgb="FFFF0000"/>
      <name val="Arial"/>
      <family val="2"/>
      <charset val="238"/>
    </font>
    <font>
      <sz val="10"/>
      <color theme="1"/>
      <name val="Calibri"/>
      <family val="2"/>
      <charset val="238"/>
    </font>
    <font>
      <sz val="10"/>
      <name val="Calibri"/>
      <family val="2"/>
      <charset val="238"/>
    </font>
    <font>
      <b/>
      <sz val="11"/>
      <color theme="1"/>
      <name val="Calibri"/>
      <family val="2"/>
      <charset val="238"/>
    </font>
    <font>
      <b/>
      <sz val="16"/>
      <color theme="1"/>
      <name val="Calibri"/>
      <family val="2"/>
      <charset val="238"/>
      <scheme val="minor"/>
    </font>
    <font>
      <b/>
      <sz val="11"/>
      <color rgb="FFFF0000"/>
      <name val="Calibri"/>
      <family val="2"/>
      <charset val="238"/>
      <scheme val="minor"/>
    </font>
    <font>
      <b/>
      <sz val="14"/>
      <color rgb="FFFF0000"/>
      <name val="Calibri"/>
      <family val="2"/>
      <charset val="238"/>
      <scheme val="minor"/>
    </font>
    <font>
      <b/>
      <sz val="12"/>
      <color theme="1"/>
      <name val="Calibri"/>
      <family val="2"/>
      <charset val="238"/>
      <scheme val="minor"/>
    </font>
    <font>
      <b/>
      <sz val="12"/>
      <color theme="1"/>
      <name val="Calibri"/>
      <family val="2"/>
      <charset val="238"/>
    </font>
    <font>
      <sz val="9"/>
      <color indexed="81"/>
      <name val="Tahoma"/>
      <family val="2"/>
      <charset val="238"/>
    </font>
    <font>
      <b/>
      <sz val="9"/>
      <color indexed="81"/>
      <name val="Tahoma"/>
      <family val="2"/>
      <charset val="238"/>
    </font>
    <font>
      <sz val="11"/>
      <color rgb="FFFF0000"/>
      <name val="Calibri"/>
      <family val="2"/>
      <charset val="238"/>
      <scheme val="minor"/>
    </font>
    <font>
      <b/>
      <u/>
      <sz val="16"/>
      <color theme="1"/>
      <name val="Calibri"/>
      <family val="2"/>
      <charset val="238"/>
      <scheme val="minor"/>
    </font>
    <font>
      <b/>
      <u/>
      <sz val="11"/>
      <color theme="1"/>
      <name val="Calibri"/>
      <family val="2"/>
      <charset val="238"/>
      <scheme val="minor"/>
    </font>
    <font>
      <b/>
      <sz val="16"/>
      <name val="Calibri"/>
      <family val="2"/>
      <charset val="238"/>
      <scheme val="minor"/>
    </font>
    <font>
      <b/>
      <u/>
      <sz val="16"/>
      <name val="Calibri"/>
      <family val="2"/>
      <charset val="238"/>
      <scheme val="minor"/>
    </font>
    <font>
      <b/>
      <u/>
      <sz val="11"/>
      <name val="Calibri"/>
      <family val="2"/>
      <charset val="238"/>
      <scheme val="minor"/>
    </font>
    <font>
      <sz val="8"/>
      <color rgb="FFFF0000"/>
      <name val="Calibri"/>
      <family val="2"/>
      <charset val="238"/>
      <scheme val="minor"/>
    </font>
    <font>
      <sz val="9"/>
      <color indexed="81"/>
      <name val="Tahoma"/>
      <charset val="1"/>
    </font>
    <font>
      <b/>
      <sz val="9"/>
      <color indexed="81"/>
      <name val="Tahoma"/>
      <charset val="1"/>
    </font>
    <font>
      <b/>
      <vertAlign val="subscript"/>
      <sz val="16"/>
      <color theme="1"/>
      <name val="Calibri"/>
      <family val="2"/>
      <charset val="238"/>
      <scheme val="minor"/>
    </font>
    <font>
      <vertAlign val="subscript"/>
      <sz val="11"/>
      <color theme="1"/>
      <name val="Calibri"/>
      <family val="2"/>
      <charset val="238"/>
      <scheme val="minor"/>
    </font>
    <font>
      <vertAlign val="subscript"/>
      <sz val="11"/>
      <color theme="1"/>
      <name val="Calibri"/>
      <family val="2"/>
      <charset val="238"/>
    </font>
    <font>
      <sz val="8"/>
      <name val="Calibri"/>
      <family val="2"/>
      <charset val="238"/>
      <scheme val="minor"/>
    </font>
    <font>
      <b/>
      <sz val="16"/>
      <color theme="1"/>
      <name val="Calibri"/>
      <family val="2"/>
      <charset val="238"/>
    </font>
    <font>
      <b/>
      <u/>
      <sz val="16"/>
      <color theme="1"/>
      <name val="Calibri"/>
      <family val="2"/>
      <charset val="238"/>
    </font>
    <font>
      <b/>
      <u/>
      <sz val="11"/>
      <color theme="1"/>
      <name val="Calibri"/>
      <family val="2"/>
      <charset val="238"/>
    </font>
    <font>
      <b/>
      <sz val="11"/>
      <name val="Calibri"/>
      <family val="2"/>
      <charset val="238"/>
      <scheme val="minor"/>
    </font>
    <font>
      <b/>
      <sz val="10"/>
      <color theme="1"/>
      <name val="Calibri"/>
      <family val="2"/>
      <charset val="238"/>
      <scheme val="minor"/>
    </font>
    <font>
      <b/>
      <sz val="14"/>
      <name val="Calibri"/>
      <family val="2"/>
      <charset val="238"/>
      <scheme val="minor"/>
    </font>
    <font>
      <sz val="18"/>
      <color theme="1"/>
      <name val="Calibri"/>
      <family val="2"/>
      <charset val="238"/>
      <scheme val="minor"/>
    </font>
    <font>
      <sz val="16"/>
      <color theme="1"/>
      <name val="Calibri"/>
      <family val="2"/>
      <charset val="238"/>
      <scheme val="minor"/>
    </font>
    <font>
      <b/>
      <sz val="10"/>
      <name val="Calibri"/>
      <family val="2"/>
      <charset val="238"/>
      <scheme val="minor"/>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CCFF99"/>
        <bgColor indexed="64"/>
      </patternFill>
    </fill>
    <fill>
      <patternFill patternType="solid">
        <fgColor rgb="FFFFFFCC"/>
        <bgColor indexed="64"/>
      </patternFill>
    </fill>
    <fill>
      <patternFill patternType="solid">
        <fgColor rgb="FFEAEAEA"/>
        <bgColor indexed="64"/>
      </patternFill>
    </fill>
    <fill>
      <patternFill patternType="solid">
        <fgColor rgb="FFDDDDDD"/>
        <bgColor indexed="64"/>
      </patternFill>
    </fill>
    <fill>
      <patternFill patternType="solid">
        <fgColor rgb="FFFFC000"/>
        <bgColor indexed="64"/>
      </patternFill>
    </fill>
    <fill>
      <patternFill patternType="solid">
        <fgColor rgb="FF00B0F0"/>
        <bgColor indexed="64"/>
      </patternFill>
    </fill>
    <fill>
      <patternFill patternType="solid">
        <fgColor rgb="FF66FFFF"/>
        <bgColor indexed="64"/>
      </patternFill>
    </fill>
    <fill>
      <patternFill patternType="solid">
        <fgColor rgb="FF11C1FF"/>
        <bgColor indexed="64"/>
      </patternFill>
    </fill>
  </fills>
  <borders count="22">
    <border>
      <left/>
      <right/>
      <top/>
      <bottom/>
      <diagonal/>
    </border>
    <border>
      <left/>
      <right/>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
    <xf numFmtId="0" fontId="0" fillId="0" borderId="0"/>
    <xf numFmtId="0" fontId="3" fillId="0" borderId="0" applyNumberFormat="0" applyFill="0" applyBorder="0" applyAlignment="0" applyProtection="0"/>
  </cellStyleXfs>
  <cellXfs count="319">
    <xf numFmtId="0" fontId="0" fillId="0" borderId="0" xfId="0"/>
    <xf numFmtId="0" fontId="0" fillId="0" borderId="0" xfId="0" applyAlignment="1">
      <alignment vertical="center"/>
    </xf>
    <xf numFmtId="2" fontId="0" fillId="0" borderId="0" xfId="0" applyNumberFormat="1"/>
    <xf numFmtId="49" fontId="0" fillId="0" borderId="0" xfId="0" applyNumberFormat="1" applyAlignment="1">
      <alignment vertical="center"/>
    </xf>
    <xf numFmtId="2" fontId="0" fillId="0" borderId="0" xfId="0" applyNumberFormat="1" applyAlignment="1">
      <alignment horizontal="left" vertical="center"/>
    </xf>
    <xf numFmtId="0" fontId="0" fillId="0" borderId="0" xfId="0" applyAlignment="1">
      <alignment horizontal="left" vertical="center"/>
    </xf>
    <xf numFmtId="164" fontId="0" fillId="0" borderId="0" xfId="0" applyNumberFormat="1"/>
    <xf numFmtId="164" fontId="0" fillId="0" borderId="0" xfId="0" applyNumberFormat="1" applyAlignment="1">
      <alignment vertical="center"/>
    </xf>
    <xf numFmtId="0" fontId="0" fillId="0" borderId="0" xfId="0" applyAlignment="1">
      <alignment horizontal="center"/>
    </xf>
    <xf numFmtId="0" fontId="6" fillId="0" borderId="0" xfId="0" applyFont="1" applyAlignment="1">
      <alignment horizontal="left"/>
    </xf>
    <xf numFmtId="0" fontId="6" fillId="0" borderId="0" xfId="0" applyFont="1"/>
    <xf numFmtId="166" fontId="0" fillId="0" borderId="0" xfId="0" applyNumberFormat="1"/>
    <xf numFmtId="0" fontId="7" fillId="0" borderId="0" xfId="0" applyFont="1"/>
    <xf numFmtId="0" fontId="1" fillId="0" borderId="0" xfId="0" applyFont="1"/>
    <xf numFmtId="164" fontId="0" fillId="0" borderId="0" xfId="0" applyNumberFormat="1" applyFill="1"/>
    <xf numFmtId="0" fontId="0" fillId="0" borderId="0" xfId="0" applyFill="1" applyAlignment="1">
      <alignment horizontal="left"/>
    </xf>
    <xf numFmtId="0" fontId="0" fillId="0" borderId="0" xfId="0" applyFill="1"/>
    <xf numFmtId="165" fontId="7" fillId="0" borderId="0" xfId="0" applyNumberFormat="1" applyFont="1" applyAlignment="1">
      <alignment horizontal="right"/>
    </xf>
    <xf numFmtId="165" fontId="0" fillId="0" borderId="0" xfId="0" applyNumberFormat="1"/>
    <xf numFmtId="0" fontId="1" fillId="0" borderId="0" xfId="0" applyFont="1" applyFill="1"/>
    <xf numFmtId="0" fontId="0" fillId="0" borderId="0" xfId="0" applyFont="1"/>
    <xf numFmtId="2" fontId="4" fillId="0" borderId="0" xfId="0" applyNumberFormat="1" applyFont="1"/>
    <xf numFmtId="0" fontId="6" fillId="0" borderId="0" xfId="0" applyFont="1" applyFill="1" applyAlignment="1">
      <alignment horizontal="left"/>
    </xf>
    <xf numFmtId="0" fontId="1" fillId="0" borderId="0" xfId="0" applyFont="1" applyAlignment="1">
      <alignment horizontal="left"/>
    </xf>
    <xf numFmtId="0" fontId="0" fillId="0" borderId="0" xfId="0" applyAlignment="1">
      <alignment horizontal="left" wrapText="1"/>
    </xf>
    <xf numFmtId="0" fontId="1" fillId="0" borderId="0" xfId="0" applyFont="1" applyFill="1" applyAlignment="1">
      <alignment horizontal="left"/>
    </xf>
    <xf numFmtId="0" fontId="0" fillId="0" borderId="0" xfId="0" applyAlignment="1">
      <alignment horizontal="left" vertical="top"/>
    </xf>
    <xf numFmtId="0" fontId="0" fillId="0" borderId="0" xfId="0" applyAlignment="1">
      <alignment horizontal="right" vertical="top"/>
    </xf>
    <xf numFmtId="0" fontId="1" fillId="0" borderId="0" xfId="0" applyFont="1" applyFill="1" applyAlignment="1">
      <alignment vertical="center"/>
    </xf>
    <xf numFmtId="0" fontId="0" fillId="0" borderId="0" xfId="0" applyAlignment="1"/>
    <xf numFmtId="0" fontId="1" fillId="0" borderId="0" xfId="0" applyFont="1" applyFill="1" applyAlignment="1">
      <alignment horizontal="center" vertical="center"/>
    </xf>
    <xf numFmtId="0" fontId="0" fillId="0" borderId="0" xfId="0" applyAlignment="1">
      <alignment horizontal="center"/>
    </xf>
    <xf numFmtId="2" fontId="13" fillId="0" borderId="0" xfId="0" applyNumberFormat="1" applyFont="1" applyAlignment="1">
      <alignment horizontal="left" vertical="center"/>
    </xf>
    <xf numFmtId="2" fontId="13" fillId="0" borderId="0" xfId="0" applyNumberFormat="1" applyFont="1" applyAlignment="1">
      <alignment vertical="center"/>
    </xf>
    <xf numFmtId="2" fontId="13" fillId="0" borderId="0" xfId="0" applyNumberFormat="1" applyFont="1" applyAlignment="1">
      <alignment horizontal="right" vertical="center"/>
    </xf>
    <xf numFmtId="2" fontId="13" fillId="0" borderId="0" xfId="0" applyNumberFormat="1" applyFont="1" applyAlignment="1">
      <alignment horizontal="right"/>
    </xf>
    <xf numFmtId="2" fontId="13" fillId="0" borderId="0" xfId="0" applyNumberFormat="1" applyFont="1"/>
    <xf numFmtId="2" fontId="13" fillId="0" borderId="0" xfId="0" applyNumberFormat="1" applyFont="1" applyFill="1"/>
    <xf numFmtId="2" fontId="7" fillId="0" borderId="0" xfId="0" applyNumberFormat="1" applyFont="1" applyAlignment="1">
      <alignment horizontal="right"/>
    </xf>
    <xf numFmtId="0" fontId="13" fillId="0" borderId="0" xfId="0" applyFont="1" applyAlignment="1">
      <alignment horizontal="right"/>
    </xf>
    <xf numFmtId="0" fontId="13" fillId="0" borderId="0" xfId="0" applyFont="1" applyAlignment="1" applyProtection="1">
      <alignment horizontal="right"/>
    </xf>
    <xf numFmtId="0" fontId="13" fillId="0" borderId="0" xfId="0" applyFont="1"/>
    <xf numFmtId="166" fontId="13" fillId="0" borderId="0" xfId="0" applyNumberFormat="1" applyFont="1"/>
    <xf numFmtId="2" fontId="7" fillId="0" borderId="0" xfId="0" applyNumberFormat="1" applyFont="1"/>
    <xf numFmtId="164" fontId="13" fillId="0" borderId="0" xfId="0" applyNumberFormat="1" applyFont="1"/>
    <xf numFmtId="0" fontId="14" fillId="0" borderId="0" xfId="0" applyFont="1"/>
    <xf numFmtId="0" fontId="13" fillId="0" borderId="0" xfId="0" applyFont="1" applyAlignment="1">
      <alignment horizontal="left"/>
    </xf>
    <xf numFmtId="0" fontId="13" fillId="0" borderId="0" xfId="0" applyFont="1" applyAlignment="1">
      <alignment horizontal="center" wrapText="1"/>
    </xf>
    <xf numFmtId="0" fontId="13" fillId="0" borderId="0" xfId="0" applyFont="1" applyAlignment="1">
      <alignment horizontal="left" vertical="center"/>
    </xf>
    <xf numFmtId="0" fontId="13" fillId="4" borderId="0" xfId="0" applyFont="1" applyFill="1" applyAlignment="1" applyProtection="1">
      <alignment horizontal="center" vertical="center"/>
    </xf>
    <xf numFmtId="0" fontId="13" fillId="4" borderId="0" xfId="0" applyFont="1" applyFill="1" applyAlignment="1">
      <alignment horizontal="center" vertical="center"/>
    </xf>
    <xf numFmtId="0" fontId="15" fillId="0" borderId="0" xfId="0" applyFont="1" applyAlignment="1">
      <alignment horizontal="center" vertical="center"/>
    </xf>
    <xf numFmtId="0" fontId="13" fillId="4" borderId="0" xfId="0" applyFont="1" applyFill="1"/>
    <xf numFmtId="165" fontId="0" fillId="0" borderId="0" xfId="0" applyNumberFormat="1" applyFill="1" applyAlignment="1">
      <alignment horizontal="right"/>
    </xf>
    <xf numFmtId="2" fontId="0" fillId="0" borderId="0" xfId="0" applyNumberFormat="1" applyFill="1" applyAlignment="1">
      <alignment horizontal="right"/>
    </xf>
    <xf numFmtId="165" fontId="16" fillId="0" borderId="0" xfId="0" applyNumberFormat="1" applyFont="1" applyAlignment="1">
      <alignment horizontal="center" vertical="center"/>
    </xf>
    <xf numFmtId="0" fontId="0" fillId="0" borderId="0" xfId="0" applyAlignment="1">
      <alignment horizontal="right"/>
    </xf>
    <xf numFmtId="2" fontId="0" fillId="0" borderId="0" xfId="0" applyNumberFormat="1" applyFill="1"/>
    <xf numFmtId="0" fontId="0" fillId="0" borderId="0" xfId="0" applyFill="1" applyAlignment="1">
      <alignment horizontal="center"/>
    </xf>
    <xf numFmtId="0" fontId="1" fillId="3" borderId="0" xfId="0" applyFont="1" applyFill="1" applyAlignment="1">
      <alignment horizontal="left"/>
    </xf>
    <xf numFmtId="2" fontId="15" fillId="0" borderId="0" xfId="0" applyNumberFormat="1" applyFont="1" applyAlignment="1">
      <alignment horizontal="center" vertical="center"/>
    </xf>
    <xf numFmtId="164" fontId="15" fillId="0" borderId="0" xfId="0" applyNumberFormat="1" applyFont="1" applyAlignment="1">
      <alignment horizontal="center" vertical="center"/>
    </xf>
    <xf numFmtId="164" fontId="15" fillId="0" borderId="0" xfId="0" applyNumberFormat="1" applyFont="1" applyFill="1" applyAlignment="1">
      <alignment horizontal="center" vertical="center"/>
    </xf>
    <xf numFmtId="2" fontId="15" fillId="0" borderId="0" xfId="0" applyNumberFormat="1" applyFont="1" applyFill="1" applyAlignment="1">
      <alignment horizontal="center" vertical="center"/>
    </xf>
    <xf numFmtId="0" fontId="7" fillId="0" borderId="0" xfId="0" applyFont="1" applyAlignment="1">
      <alignment vertical="top" wrapText="1"/>
    </xf>
    <xf numFmtId="0" fontId="15" fillId="0" borderId="0" xfId="0" applyFont="1" applyAlignment="1">
      <alignment horizontal="center"/>
    </xf>
    <xf numFmtId="0" fontId="1" fillId="2" borderId="0" xfId="0" applyFont="1" applyFill="1"/>
    <xf numFmtId="2" fontId="13" fillId="0" borderId="0" xfId="0" applyNumberFormat="1" applyFont="1" applyFill="1" applyAlignment="1">
      <alignment horizontal="right"/>
    </xf>
    <xf numFmtId="49" fontId="1" fillId="2" borderId="0" xfId="0" applyNumberFormat="1" applyFont="1" applyFill="1" applyAlignment="1">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49" fontId="0" fillId="0" borderId="0" xfId="0" applyNumberFormat="1" applyFill="1" applyAlignment="1">
      <alignment vertical="center" wrapText="1"/>
    </xf>
    <xf numFmtId="0" fontId="1" fillId="3" borderId="0" xfId="0" applyFont="1" applyFill="1"/>
    <xf numFmtId="0" fontId="0" fillId="6" borderId="2" xfId="0" applyFill="1" applyBorder="1"/>
    <xf numFmtId="0" fontId="0" fillId="6" borderId="3" xfId="0" applyFill="1" applyBorder="1"/>
    <xf numFmtId="0" fontId="0" fillId="6" borderId="4" xfId="0" applyFill="1" applyBorder="1"/>
    <xf numFmtId="0" fontId="21" fillId="6" borderId="0" xfId="0" applyFont="1" applyFill="1" applyBorder="1" applyAlignment="1">
      <alignment vertical="center" textRotation="90" wrapText="1"/>
    </xf>
    <xf numFmtId="0" fontId="0" fillId="6" borderId="0" xfId="0" applyFill="1" applyBorder="1"/>
    <xf numFmtId="0" fontId="0" fillId="6" borderId="6" xfId="0" applyFill="1" applyBorder="1"/>
    <xf numFmtId="0" fontId="0" fillId="6" borderId="5" xfId="0" applyFill="1" applyBorder="1"/>
    <xf numFmtId="0" fontId="0" fillId="0" borderId="0" xfId="0" applyBorder="1"/>
    <xf numFmtId="0" fontId="0" fillId="6" borderId="5" xfId="0" applyFill="1" applyBorder="1" applyAlignment="1">
      <alignment horizontal="left" vertical="center"/>
    </xf>
    <xf numFmtId="0" fontId="0" fillId="6" borderId="7" xfId="0" applyFill="1" applyBorder="1"/>
    <xf numFmtId="0" fontId="0" fillId="6" borderId="1" xfId="0" applyFill="1" applyBorder="1"/>
    <xf numFmtId="0" fontId="0" fillId="6" borderId="8" xfId="0" applyFill="1" applyBorder="1"/>
    <xf numFmtId="165" fontId="10" fillId="0" borderId="0" xfId="0" applyNumberFormat="1" applyFont="1" applyAlignment="1">
      <alignment vertical="center"/>
    </xf>
    <xf numFmtId="0" fontId="1" fillId="6" borderId="3"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0" xfId="0" applyFont="1" applyFill="1" applyBorder="1" applyAlignment="1">
      <alignment vertical="center" textRotation="90" wrapText="1"/>
    </xf>
    <xf numFmtId="165" fontId="7" fillId="0" borderId="0" xfId="0" applyNumberFormat="1" applyFont="1" applyFill="1" applyAlignment="1">
      <alignment horizontal="right"/>
    </xf>
    <xf numFmtId="165" fontId="7" fillId="0" borderId="0" xfId="0" applyNumberFormat="1" applyFont="1" applyFill="1" applyAlignment="1">
      <alignment horizontal="right" vertical="center"/>
    </xf>
    <xf numFmtId="0" fontId="0" fillId="0" borderId="0" xfId="0" applyFill="1" applyAlignment="1">
      <alignment wrapText="1"/>
    </xf>
    <xf numFmtId="2" fontId="4" fillId="0" borderId="0" xfId="0" applyNumberFormat="1" applyFont="1" applyFill="1"/>
    <xf numFmtId="0" fontId="4" fillId="0" borderId="0" xfId="0" applyFont="1"/>
    <xf numFmtId="0" fontId="7" fillId="0" borderId="0" xfId="0" applyFont="1" applyAlignment="1"/>
    <xf numFmtId="2" fontId="12" fillId="2" borderId="0" xfId="0" applyNumberFormat="1" applyFont="1" applyFill="1"/>
    <xf numFmtId="0" fontId="0" fillId="0" borderId="0" xfId="0" applyAlignment="1">
      <alignment horizontal="left" vertical="center" wrapText="1"/>
    </xf>
    <xf numFmtId="0" fontId="0" fillId="0" borderId="0" xfId="0" applyAlignment="1">
      <alignment vertical="center" wrapText="1"/>
    </xf>
    <xf numFmtId="0" fontId="12" fillId="0" borderId="0" xfId="0" applyFont="1" applyAlignment="1">
      <alignment horizontal="center" wrapText="1"/>
    </xf>
    <xf numFmtId="0" fontId="12" fillId="0" borderId="0" xfId="0" applyFont="1" applyAlignment="1">
      <alignment horizontal="center" vertical="center" wrapText="1"/>
    </xf>
    <xf numFmtId="0" fontId="12" fillId="4" borderId="0" xfId="0" applyFont="1" applyFill="1" applyAlignment="1" applyProtection="1">
      <alignment horizontal="center" vertical="center"/>
    </xf>
    <xf numFmtId="0" fontId="12" fillId="4" borderId="0" xfId="0" applyFont="1" applyFill="1" applyAlignment="1">
      <alignment horizontal="center" vertical="center"/>
    </xf>
    <xf numFmtId="2" fontId="1" fillId="3" borderId="0" xfId="0" applyNumberFormat="1" applyFont="1" applyFill="1"/>
    <xf numFmtId="0" fontId="1" fillId="3" borderId="0" xfId="0" applyFont="1" applyFill="1" applyAlignment="1">
      <alignment horizontal="center"/>
    </xf>
    <xf numFmtId="2" fontId="12" fillId="3" borderId="0" xfId="0" applyNumberFormat="1" applyFont="1" applyFill="1"/>
    <xf numFmtId="165" fontId="12" fillId="3" borderId="0" xfId="0" applyNumberFormat="1" applyFont="1" applyFill="1" applyAlignment="1">
      <alignment horizontal="right"/>
    </xf>
    <xf numFmtId="2" fontId="12" fillId="3" borderId="0" xfId="0" applyNumberFormat="1" applyFont="1" applyFill="1" applyAlignment="1">
      <alignment horizontal="right"/>
    </xf>
    <xf numFmtId="0" fontId="13" fillId="0" borderId="0" xfId="0" applyFont="1" applyFill="1"/>
    <xf numFmtId="0" fontId="4" fillId="0" borderId="0" xfId="0" applyFont="1" applyAlignment="1">
      <alignment horizontal="left" vertical="center"/>
    </xf>
    <xf numFmtId="0" fontId="41" fillId="0" borderId="0" xfId="0" applyFont="1"/>
    <xf numFmtId="165" fontId="7" fillId="0" borderId="0" xfId="0" applyNumberFormat="1" applyFont="1" applyAlignment="1">
      <alignment horizontal="right" vertical="center"/>
    </xf>
    <xf numFmtId="165" fontId="13" fillId="0" borderId="0" xfId="0" applyNumberFormat="1" applyFont="1" applyAlignment="1">
      <alignment horizontal="right"/>
    </xf>
    <xf numFmtId="2" fontId="13" fillId="0" borderId="0" xfId="0" applyNumberFormat="1" applyFont="1" applyAlignment="1" applyProtection="1">
      <alignment horizontal="right"/>
    </xf>
    <xf numFmtId="165" fontId="10" fillId="0" borderId="0" xfId="0" applyNumberFormat="1" applyFont="1" applyAlignment="1">
      <alignment horizontal="center" vertical="center"/>
    </xf>
    <xf numFmtId="2" fontId="13" fillId="0" borderId="0" xfId="0" applyNumberFormat="1" applyFont="1" applyFill="1" applyAlignment="1" applyProtection="1">
      <alignment horizontal="right"/>
    </xf>
    <xf numFmtId="0" fontId="1" fillId="2" borderId="0" xfId="0" applyFont="1" applyFill="1" applyAlignment="1">
      <alignment horizontal="left" indent="1"/>
    </xf>
    <xf numFmtId="2" fontId="6" fillId="2" borderId="0" xfId="0" applyNumberFormat="1" applyFont="1" applyFill="1" applyAlignment="1">
      <alignment vertical="center"/>
    </xf>
    <xf numFmtId="2" fontId="12" fillId="2" borderId="0" xfId="0" applyNumberFormat="1" applyFont="1" applyFill="1" applyAlignment="1">
      <alignment vertical="center"/>
    </xf>
    <xf numFmtId="0" fontId="1" fillId="4" borderId="0" xfId="0" applyFont="1" applyFill="1"/>
    <xf numFmtId="165" fontId="6" fillId="4" borderId="0" xfId="0" applyNumberFormat="1" applyFont="1" applyFill="1" applyAlignment="1">
      <alignment horizontal="right"/>
    </xf>
    <xf numFmtId="0" fontId="0" fillId="4" borderId="0" xfId="0" applyFill="1"/>
    <xf numFmtId="165" fontId="7" fillId="4" borderId="0" xfId="0" applyNumberFormat="1" applyFont="1" applyFill="1" applyAlignment="1">
      <alignment horizontal="right"/>
    </xf>
    <xf numFmtId="165" fontId="7" fillId="4" borderId="0" xfId="0" quotePrefix="1" applyNumberFormat="1" applyFont="1" applyFill="1" applyAlignment="1">
      <alignment horizontal="right"/>
    </xf>
    <xf numFmtId="164" fontId="13" fillId="4" borderId="0" xfId="0" applyNumberFormat="1" applyFont="1" applyFill="1"/>
    <xf numFmtId="164" fontId="0" fillId="4" borderId="0" xfId="0" applyNumberFormat="1" applyFill="1"/>
    <xf numFmtId="165" fontId="6" fillId="3" borderId="0" xfId="0" applyNumberFormat="1" applyFont="1" applyFill="1" applyAlignment="1">
      <alignment horizontal="right"/>
    </xf>
    <xf numFmtId="0" fontId="18" fillId="0" borderId="0" xfId="0" applyFont="1" applyAlignment="1">
      <alignment horizontal="center" vertical="center"/>
    </xf>
    <xf numFmtId="0" fontId="13" fillId="0" borderId="0" xfId="0" applyFont="1" applyFill="1" applyAlignment="1">
      <alignment horizontal="center" wrapText="1"/>
    </xf>
    <xf numFmtId="2" fontId="0" fillId="4" borderId="0" xfId="0" applyNumberFormat="1" applyFill="1" applyAlignment="1">
      <alignment horizontal="right" vertical="center"/>
    </xf>
    <xf numFmtId="2" fontId="11" fillId="0" borderId="0" xfId="0" applyNumberFormat="1" applyFont="1" applyAlignment="1">
      <alignment horizontal="left" vertical="center"/>
    </xf>
    <xf numFmtId="0" fontId="7" fillId="4" borderId="0" xfId="0" applyFont="1" applyFill="1" applyAlignment="1">
      <alignment horizontal="right" vertical="center"/>
    </xf>
    <xf numFmtId="165" fontId="13" fillId="0" borderId="0" xfId="0" applyNumberFormat="1" applyFont="1"/>
    <xf numFmtId="2" fontId="0" fillId="0" borderId="0" xfId="0" applyNumberFormat="1" applyFont="1" applyAlignment="1">
      <alignment horizontal="right" vertical="center"/>
    </xf>
    <xf numFmtId="2" fontId="1" fillId="0" borderId="0" xfId="0" applyNumberFormat="1" applyFont="1" applyFill="1" applyAlignment="1">
      <alignment horizontal="left" vertical="center"/>
    </xf>
    <xf numFmtId="2" fontId="0" fillId="0" borderId="0" xfId="0" applyNumberFormat="1" applyFill="1" applyAlignment="1">
      <alignment horizontal="left" vertical="center"/>
    </xf>
    <xf numFmtId="0" fontId="19" fillId="0" borderId="0" xfId="0" applyFont="1" applyAlignment="1">
      <alignment horizontal="center" vertical="center"/>
    </xf>
    <xf numFmtId="0" fontId="1" fillId="0" borderId="0" xfId="0" applyFont="1" applyAlignment="1">
      <alignment horizontal="center" vertical="center"/>
    </xf>
    <xf numFmtId="0" fontId="44" fillId="0" borderId="0" xfId="0" applyFont="1" applyAlignment="1">
      <alignment horizontal="center" vertical="center"/>
    </xf>
    <xf numFmtId="0" fontId="0" fillId="0" borderId="0" xfId="0" applyAlignment="1">
      <alignment horizontal="center" vertical="center"/>
    </xf>
    <xf numFmtId="0" fontId="0" fillId="6" borderId="5" xfId="0" applyFill="1" applyBorder="1" applyAlignment="1">
      <alignment horizontal="left" vertical="center"/>
    </xf>
    <xf numFmtId="0" fontId="1"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vertical="center"/>
    </xf>
    <xf numFmtId="0" fontId="1" fillId="0" borderId="0" xfId="0" applyFont="1" applyAlignment="1">
      <alignment horizontal="center" vertical="center"/>
    </xf>
    <xf numFmtId="2" fontId="1" fillId="2" borderId="0" xfId="0" applyNumberFormat="1" applyFont="1" applyFill="1"/>
    <xf numFmtId="49" fontId="1" fillId="0" borderId="0" xfId="0" applyNumberFormat="1" applyFont="1" applyAlignment="1">
      <alignment horizontal="left" vertical="center"/>
    </xf>
    <xf numFmtId="49" fontId="1" fillId="0" borderId="0" xfId="0" applyNumberFormat="1" applyFont="1" applyFill="1" applyAlignment="1">
      <alignment horizontal="left" vertical="center"/>
    </xf>
    <xf numFmtId="0" fontId="0" fillId="2" borderId="0" xfId="0" applyFill="1"/>
    <xf numFmtId="0" fontId="1" fillId="0" borderId="0" xfId="0" applyFont="1" applyAlignment="1">
      <alignment horizontal="left"/>
    </xf>
    <xf numFmtId="0" fontId="1" fillId="0" borderId="0" xfId="0" applyFont="1" applyFill="1" applyAlignment="1">
      <alignment horizontal="center" vertical="center"/>
    </xf>
    <xf numFmtId="0" fontId="0" fillId="0" borderId="0" xfId="0" applyAlignment="1">
      <alignment horizontal="center" vertical="center"/>
    </xf>
    <xf numFmtId="0" fontId="19" fillId="0" borderId="0" xfId="0" applyFont="1" applyAlignment="1">
      <alignment horizontal="center" vertical="center"/>
    </xf>
    <xf numFmtId="0" fontId="1" fillId="0" borderId="0" xfId="0" applyFont="1" applyAlignment="1">
      <alignment horizontal="center" vertical="center"/>
    </xf>
    <xf numFmtId="0" fontId="0" fillId="6" borderId="5" xfId="0" applyFill="1" applyBorder="1" applyAlignment="1">
      <alignment horizontal="left" vertical="center"/>
    </xf>
    <xf numFmtId="0" fontId="1" fillId="0" borderId="0" xfId="0" applyFont="1" applyAlignment="1">
      <alignment horizontal="left"/>
    </xf>
    <xf numFmtId="0" fontId="1" fillId="0" borderId="0" xfId="0" applyFont="1" applyFill="1" applyAlignment="1">
      <alignment horizontal="center" vertical="center"/>
    </xf>
    <xf numFmtId="0" fontId="1" fillId="2" borderId="0" xfId="0" applyFont="1" applyFill="1" applyAlignment="1">
      <alignment horizontal="center"/>
    </xf>
    <xf numFmtId="0" fontId="0" fillId="0" borderId="0" xfId="0" applyAlignment="1">
      <alignment horizontal="center" vertical="center"/>
    </xf>
    <xf numFmtId="0" fontId="19" fillId="0" borderId="0" xfId="0" applyFont="1" applyAlignment="1">
      <alignment horizontal="center" vertical="center"/>
    </xf>
    <xf numFmtId="0" fontId="1" fillId="0" borderId="0" xfId="0" applyFont="1" applyAlignment="1">
      <alignment horizontal="center" vertical="center"/>
    </xf>
    <xf numFmtId="0" fontId="0" fillId="6" borderId="5" xfId="0" applyFill="1" applyBorder="1" applyAlignment="1">
      <alignment horizontal="left" vertical="center"/>
    </xf>
    <xf numFmtId="0" fontId="0" fillId="0" borderId="0" xfId="0" applyAlignment="1">
      <alignment horizontal="center"/>
    </xf>
    <xf numFmtId="2" fontId="7" fillId="0" borderId="0" xfId="0" applyNumberFormat="1" applyFont="1" applyAlignment="1">
      <alignment vertical="center"/>
    </xf>
    <xf numFmtId="0" fontId="1" fillId="2" borderId="0" xfId="0" applyFont="1" applyFill="1" applyAlignment="1">
      <alignment horizontal="center"/>
    </xf>
    <xf numFmtId="0" fontId="0" fillId="0" borderId="0" xfId="0" applyFill="1" applyAlignment="1">
      <alignment vertical="center" wrapText="1"/>
    </xf>
    <xf numFmtId="0" fontId="0" fillId="0" borderId="0" xfId="0" applyAlignment="1">
      <alignment horizontal="center" vertical="center"/>
    </xf>
    <xf numFmtId="0" fontId="19" fillId="0" borderId="0" xfId="0" applyFont="1" applyAlignment="1">
      <alignment horizontal="center" vertical="center"/>
    </xf>
    <xf numFmtId="0" fontId="1" fillId="0" borderId="0" xfId="0" applyFont="1" applyAlignment="1">
      <alignment horizontal="center" vertical="center"/>
    </xf>
    <xf numFmtId="0" fontId="0" fillId="6" borderId="5" xfId="0" applyFill="1" applyBorder="1" applyAlignment="1">
      <alignment horizontal="left" vertical="center"/>
    </xf>
    <xf numFmtId="0" fontId="1" fillId="0" borderId="0" xfId="0" applyFont="1" applyFill="1" applyAlignment="1">
      <alignment horizontal="center"/>
    </xf>
    <xf numFmtId="166" fontId="1" fillId="0" borderId="0" xfId="0" applyNumberFormat="1" applyFont="1" applyFill="1" applyAlignment="1">
      <alignment horizontal="center" vertical="center"/>
    </xf>
    <xf numFmtId="165" fontId="1" fillId="0" borderId="0" xfId="0" applyNumberFormat="1" applyFont="1" applyFill="1" applyAlignment="1">
      <alignment horizontal="center"/>
    </xf>
    <xf numFmtId="165" fontId="1" fillId="0" borderId="0" xfId="0" applyNumberFormat="1" applyFont="1" applyFill="1" applyAlignment="1">
      <alignment horizontal="center" vertical="center"/>
    </xf>
    <xf numFmtId="0" fontId="0" fillId="0" borderId="0" xfId="0" applyAlignment="1">
      <alignment horizontal="left"/>
    </xf>
    <xf numFmtId="0" fontId="45" fillId="0" borderId="0" xfId="0" applyFont="1" applyAlignment="1">
      <alignment horizontal="center" vertical="center" wrapText="1"/>
    </xf>
    <xf numFmtId="0" fontId="0" fillId="0" borderId="0" xfId="0" applyFont="1" applyAlignment="1">
      <alignment horizontal="center"/>
    </xf>
    <xf numFmtId="165" fontId="4" fillId="0" borderId="0" xfId="0" applyNumberFormat="1" applyFont="1"/>
    <xf numFmtId="165" fontId="7" fillId="0" borderId="0" xfId="0" applyNumberFormat="1" applyFont="1"/>
    <xf numFmtId="0" fontId="0" fillId="0" borderId="0" xfId="0"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center"/>
    </xf>
    <xf numFmtId="0" fontId="1" fillId="0" borderId="0" xfId="0" applyFont="1" applyBorder="1" applyAlignment="1">
      <alignment horizontal="center" vertical="center"/>
    </xf>
    <xf numFmtId="0" fontId="19" fillId="0" borderId="0" xfId="0" applyFont="1" applyBorder="1" applyAlignment="1">
      <alignment vertical="center"/>
    </xf>
    <xf numFmtId="0" fontId="0" fillId="0" borderId="0" xfId="0" applyBorder="1" applyAlignment="1">
      <alignment vertical="center"/>
    </xf>
    <xf numFmtId="0" fontId="0" fillId="0" borderId="11" xfId="0" applyBorder="1"/>
    <xf numFmtId="165" fontId="10" fillId="0" borderId="14" xfId="0" applyNumberFormat="1" applyFont="1" applyBorder="1" applyAlignment="1">
      <alignment vertical="center"/>
    </xf>
    <xf numFmtId="0" fontId="0" fillId="0" borderId="10" xfId="0" applyBorder="1"/>
    <xf numFmtId="0" fontId="0" fillId="0" borderId="13" xfId="0" applyBorder="1"/>
    <xf numFmtId="165" fontId="10" fillId="0" borderId="13" xfId="0" applyNumberFormat="1" applyFont="1" applyBorder="1" applyAlignment="1">
      <alignment vertical="center"/>
    </xf>
    <xf numFmtId="0" fontId="1" fillId="0" borderId="15" xfId="0" applyFont="1" applyBorder="1" applyAlignment="1">
      <alignment horizontal="center"/>
    </xf>
    <xf numFmtId="0" fontId="0" fillId="0" borderId="12" xfId="0" applyBorder="1"/>
    <xf numFmtId="0" fontId="1" fillId="0" borderId="15" xfId="0" applyFont="1" applyBorder="1" applyAlignment="1">
      <alignment horizontal="center" vertical="center"/>
    </xf>
    <xf numFmtId="0" fontId="0" fillId="0" borderId="21" xfId="0" applyBorder="1"/>
    <xf numFmtId="0" fontId="11" fillId="0" borderId="0" xfId="0" applyFont="1"/>
    <xf numFmtId="2" fontId="12" fillId="7" borderId="0" xfId="0" applyNumberFormat="1" applyFont="1" applyFill="1" applyAlignment="1" applyProtection="1">
      <alignment horizontal="left" vertical="center"/>
      <protection locked="0"/>
    </xf>
    <xf numFmtId="2" fontId="12" fillId="7" borderId="0" xfId="0" applyNumberFormat="1" applyFont="1" applyFill="1" applyAlignment="1" applyProtection="1">
      <alignment horizontal="left"/>
      <protection locked="0"/>
    </xf>
    <xf numFmtId="2" fontId="6" fillId="7" borderId="0" xfId="0" applyNumberFormat="1" applyFont="1" applyFill="1" applyAlignment="1" applyProtection="1">
      <alignment horizontal="left"/>
      <protection locked="0"/>
    </xf>
    <xf numFmtId="2" fontId="13" fillId="7" borderId="0" xfId="0" applyNumberFormat="1" applyFont="1" applyFill="1" applyProtection="1">
      <protection locked="0"/>
    </xf>
    <xf numFmtId="0" fontId="6" fillId="7" borderId="0" xfId="0" applyFont="1" applyFill="1" applyAlignment="1" applyProtection="1">
      <alignment horizontal="left"/>
      <protection locked="0"/>
    </xf>
    <xf numFmtId="0" fontId="6" fillId="7" borderId="0" xfId="0" applyFont="1" applyFill="1" applyAlignment="1" applyProtection="1">
      <alignment horizontal="left" vertical="center"/>
      <protection locked="0"/>
    </xf>
    <xf numFmtId="0" fontId="1" fillId="7" borderId="0" xfId="0" applyFont="1" applyFill="1" applyProtection="1">
      <protection locked="0"/>
    </xf>
    <xf numFmtId="164" fontId="12" fillId="7" borderId="0" xfId="0" applyNumberFormat="1" applyFont="1" applyFill="1" applyProtection="1">
      <protection locked="0"/>
    </xf>
    <xf numFmtId="0" fontId="12" fillId="7" borderId="0" xfId="0" applyFont="1" applyFill="1" applyAlignment="1" applyProtection="1">
      <alignment horizontal="left"/>
      <protection locked="0"/>
    </xf>
    <xf numFmtId="165" fontId="4" fillId="0" borderId="0" xfId="0" applyNumberFormat="1" applyFont="1" applyFill="1" applyAlignment="1" applyProtection="1">
      <alignment horizontal="left" vertical="center"/>
      <protection locked="0"/>
    </xf>
    <xf numFmtId="165" fontId="4" fillId="0" borderId="0" xfId="0" applyNumberFormat="1" applyFont="1" applyFill="1" applyAlignment="1" applyProtection="1">
      <alignment horizontal="right" vertical="center"/>
      <protection locked="0"/>
    </xf>
    <xf numFmtId="165" fontId="4" fillId="0" borderId="0" xfId="0" applyNumberFormat="1" applyFont="1" applyAlignment="1" applyProtection="1">
      <alignment horizontal="right"/>
      <protection locked="0"/>
    </xf>
    <xf numFmtId="165" fontId="6" fillId="7" borderId="0" xfId="0" applyNumberFormat="1" applyFont="1" applyFill="1" applyAlignment="1" applyProtection="1">
      <alignment horizontal="left" vertical="center"/>
      <protection locked="0"/>
    </xf>
    <xf numFmtId="0" fontId="1" fillId="7" borderId="0" xfId="0" applyFont="1" applyFill="1" applyAlignment="1" applyProtection="1">
      <alignment horizontal="left"/>
      <protection locked="0"/>
    </xf>
    <xf numFmtId="2" fontId="1" fillId="7" borderId="0" xfId="0" applyNumberFormat="1" applyFont="1" applyFill="1" applyAlignment="1" applyProtection="1">
      <alignment horizontal="left" vertical="center"/>
      <protection locked="0"/>
    </xf>
    <xf numFmtId="165" fontId="6" fillId="7" borderId="0" xfId="0" applyNumberFormat="1" applyFont="1" applyFill="1" applyAlignment="1" applyProtection="1">
      <alignment horizontal="left"/>
      <protection locked="0"/>
    </xf>
    <xf numFmtId="164" fontId="1" fillId="7" borderId="0" xfId="0" applyNumberFormat="1" applyFont="1" applyFill="1" applyProtection="1">
      <protection locked="0"/>
    </xf>
    <xf numFmtId="2" fontId="1" fillId="7" borderId="0" xfId="0" applyNumberFormat="1" applyFont="1" applyFill="1" applyAlignment="1" applyProtection="1">
      <alignment horizontal="left"/>
      <protection locked="0"/>
    </xf>
    <xf numFmtId="0" fontId="1" fillId="7" borderId="0" xfId="0" applyFont="1" applyFill="1" applyAlignment="1" applyProtection="1">
      <alignment horizontal="center"/>
      <protection locked="0"/>
    </xf>
    <xf numFmtId="165" fontId="1" fillId="7" borderId="0" xfId="0" applyNumberFormat="1" applyFont="1" applyFill="1" applyAlignment="1" applyProtection="1">
      <alignment horizontal="left" vertical="center"/>
      <protection locked="0"/>
    </xf>
    <xf numFmtId="0" fontId="0" fillId="0" borderId="0" xfId="0" applyAlignment="1">
      <alignment horizontal="left" vertical="center" wrapText="1" indent="1"/>
    </xf>
    <xf numFmtId="0" fontId="0" fillId="0" borderId="0" xfId="0" applyAlignment="1">
      <alignment horizontal="center" vertical="center"/>
    </xf>
    <xf numFmtId="0" fontId="0" fillId="0" borderId="0" xfId="0" applyFont="1" applyAlignment="1">
      <alignment horizontal="left" vertical="center" wrapText="1" indent="1"/>
    </xf>
    <xf numFmtId="0" fontId="18" fillId="8" borderId="0" xfId="0" applyFont="1" applyFill="1" applyAlignment="1">
      <alignment horizontal="center" vertical="center" wrapText="1"/>
    </xf>
    <xf numFmtId="0" fontId="10" fillId="2" borderId="0" xfId="0" applyFont="1" applyFill="1" applyAlignment="1">
      <alignment horizontal="center" vertical="center"/>
    </xf>
    <xf numFmtId="0" fontId="0" fillId="5" borderId="0" xfId="0" applyFill="1" applyAlignment="1">
      <alignment horizontal="left" vertical="center" wrapText="1" indent="1"/>
    </xf>
    <xf numFmtId="0" fontId="43" fillId="2" borderId="0" xfId="0" applyFont="1" applyFill="1" applyAlignment="1">
      <alignment horizontal="center" vertical="center"/>
    </xf>
    <xf numFmtId="0" fontId="10" fillId="3" borderId="0" xfId="0" applyFont="1" applyFill="1" applyAlignment="1">
      <alignment horizontal="center" vertical="center"/>
    </xf>
    <xf numFmtId="0" fontId="0" fillId="4" borderId="0" xfId="0" applyFill="1" applyAlignment="1">
      <alignment horizontal="left" vertical="center" wrapText="1" indent="1"/>
    </xf>
    <xf numFmtId="0" fontId="43" fillId="9" borderId="0" xfId="0" applyFont="1" applyFill="1" applyAlignment="1">
      <alignment horizontal="center" vertical="center"/>
    </xf>
    <xf numFmtId="0" fontId="0" fillId="10" borderId="0" xfId="0" applyFill="1" applyAlignment="1">
      <alignment horizontal="left" vertical="center" wrapText="1" indent="1"/>
    </xf>
    <xf numFmtId="0" fontId="18" fillId="2" borderId="0" xfId="0" applyFont="1" applyFill="1" applyAlignment="1">
      <alignment horizontal="center" vertical="center"/>
    </xf>
    <xf numFmtId="0" fontId="28" fillId="2" borderId="0" xfId="0" applyFont="1" applyFill="1" applyAlignment="1">
      <alignment horizontal="center" vertical="center"/>
    </xf>
    <xf numFmtId="0" fontId="1" fillId="0" borderId="0" xfId="0" applyFont="1" applyAlignment="1">
      <alignment horizontal="left" vertical="center"/>
    </xf>
    <xf numFmtId="0" fontId="3" fillId="0" borderId="0" xfId="1" applyAlignment="1" applyProtection="1">
      <alignment horizontal="center" vertical="center"/>
      <protection locked="0"/>
    </xf>
    <xf numFmtId="0" fontId="18" fillId="3" borderId="0" xfId="0" applyFont="1" applyFill="1" applyAlignment="1">
      <alignment horizontal="center" vertical="center"/>
    </xf>
    <xf numFmtId="0" fontId="1" fillId="4" borderId="0" xfId="0" applyFont="1" applyFill="1" applyAlignment="1">
      <alignment horizontal="center" vertical="center" wrapText="1"/>
    </xf>
    <xf numFmtId="0" fontId="7" fillId="0" borderId="0" xfId="0" applyFont="1" applyAlignment="1">
      <alignment horizontal="left" vertical="top" wrapText="1"/>
    </xf>
    <xf numFmtId="0" fontId="6"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center" vertical="center"/>
    </xf>
    <xf numFmtId="0" fontId="0" fillId="4" borderId="0" xfId="0" applyNumberFormat="1" applyFill="1" applyAlignment="1">
      <alignment horizontal="center" vertical="center" wrapText="1"/>
    </xf>
    <xf numFmtId="0" fontId="3" fillId="0" borderId="0" xfId="1" applyFont="1" applyAlignment="1" applyProtection="1">
      <alignment horizontal="center" vertical="center"/>
      <protection locked="0"/>
    </xf>
    <xf numFmtId="165" fontId="0" fillId="4" borderId="0" xfId="0" applyNumberFormat="1" applyFill="1" applyAlignment="1">
      <alignment horizontal="center"/>
    </xf>
    <xf numFmtId="2" fontId="0" fillId="4" borderId="0" xfId="0" applyNumberFormat="1" applyFill="1" applyAlignment="1">
      <alignment horizontal="center"/>
    </xf>
    <xf numFmtId="0" fontId="0" fillId="0" borderId="0" xfId="0" applyAlignment="1">
      <alignment horizontal="center"/>
    </xf>
    <xf numFmtId="0" fontId="1" fillId="3" borderId="0" xfId="0" applyFont="1" applyFill="1" applyAlignment="1">
      <alignment horizontal="center" wrapText="1"/>
    </xf>
    <xf numFmtId="165" fontId="20" fillId="0" borderId="16" xfId="0" applyNumberFormat="1" applyFont="1" applyBorder="1" applyAlignment="1">
      <alignment horizontal="center" vertical="center"/>
    </xf>
    <xf numFmtId="165" fontId="20" fillId="0" borderId="17" xfId="0" applyNumberFormat="1" applyFont="1" applyBorder="1" applyAlignment="1">
      <alignment horizontal="center" vertical="center"/>
    </xf>
    <xf numFmtId="0" fontId="20" fillId="0" borderId="9" xfId="0" applyFont="1" applyBorder="1" applyAlignment="1">
      <alignment horizontal="center" vertical="center" textRotation="90"/>
    </xf>
    <xf numFmtId="0" fontId="20" fillId="0" borderId="9" xfId="0" applyFont="1" applyBorder="1" applyAlignment="1">
      <alignment horizontal="center" vertical="center"/>
    </xf>
    <xf numFmtId="0" fontId="25" fillId="0" borderId="0" xfId="0" applyFont="1" applyAlignment="1">
      <alignment horizontal="center" vertical="center" wrapText="1"/>
    </xf>
    <xf numFmtId="0" fontId="19" fillId="0" borderId="0" xfId="0" applyFont="1" applyAlignment="1">
      <alignment horizontal="center" vertical="center"/>
    </xf>
    <xf numFmtId="0" fontId="1" fillId="0" borderId="0" xfId="0" applyFont="1" applyAlignment="1">
      <alignment horizontal="center" vertical="center"/>
    </xf>
    <xf numFmtId="0" fontId="0" fillId="3" borderId="0" xfId="0" applyFill="1" applyAlignment="1">
      <alignment horizontal="center" vertical="center"/>
    </xf>
    <xf numFmtId="0" fontId="1" fillId="3" borderId="0" xfId="0" applyFont="1" applyFill="1" applyAlignment="1">
      <alignment horizontal="center" vertical="center"/>
    </xf>
    <xf numFmtId="0" fontId="1" fillId="4" borderId="0" xfId="0" applyFont="1" applyFill="1" applyAlignment="1">
      <alignment horizontal="center" vertical="center"/>
    </xf>
    <xf numFmtId="0" fontId="1" fillId="0" borderId="9" xfId="0" applyFont="1" applyBorder="1" applyAlignment="1">
      <alignment horizontal="right" vertical="center" textRotation="90"/>
    </xf>
    <xf numFmtId="0" fontId="1" fillId="0" borderId="15" xfId="0" applyFont="1" applyBorder="1" applyAlignment="1">
      <alignment horizontal="right" vertical="center" textRotation="90"/>
    </xf>
    <xf numFmtId="164" fontId="10" fillId="0" borderId="0" xfId="0" applyNumberFormat="1" applyFont="1" applyAlignment="1">
      <alignment horizontal="center" vertical="center" textRotation="90"/>
    </xf>
    <xf numFmtId="164" fontId="10" fillId="0" borderId="1" xfId="0" applyNumberFormat="1" applyFont="1" applyBorder="1" applyAlignment="1">
      <alignment horizontal="center" vertical="center" textRotation="90"/>
    </xf>
    <xf numFmtId="0" fontId="1" fillId="0" borderId="9" xfId="0" applyFont="1" applyBorder="1" applyAlignment="1">
      <alignment horizontal="center"/>
    </xf>
    <xf numFmtId="165" fontId="10" fillId="0" borderId="15" xfId="0" applyNumberFormat="1" applyFont="1" applyBorder="1" applyAlignment="1">
      <alignment horizontal="center" vertical="center" textRotation="90"/>
    </xf>
    <xf numFmtId="165" fontId="10" fillId="0" borderId="19" xfId="0" applyNumberFormat="1" applyFont="1" applyBorder="1" applyAlignment="1">
      <alignment horizontal="center" vertical="center" textRotation="90"/>
    </xf>
    <xf numFmtId="165" fontId="10" fillId="0" borderId="20" xfId="0" applyNumberFormat="1" applyFont="1" applyBorder="1" applyAlignment="1">
      <alignment horizontal="center" vertical="center" textRotation="90"/>
    </xf>
    <xf numFmtId="165" fontId="10" fillId="0" borderId="9" xfId="0" applyNumberFormat="1" applyFont="1" applyBorder="1" applyAlignment="1">
      <alignment horizontal="center" vertical="center" textRotation="90"/>
    </xf>
    <xf numFmtId="0" fontId="0" fillId="0" borderId="0" xfId="0" applyAlignment="1">
      <alignment horizontal="left" vertical="center"/>
    </xf>
    <xf numFmtId="165" fontId="10" fillId="0" borderId="9" xfId="0" applyNumberFormat="1" applyFont="1" applyBorder="1" applyAlignment="1">
      <alignment horizontal="center" vertical="center"/>
    </xf>
    <xf numFmtId="164" fontId="10" fillId="0" borderId="0" xfId="0" applyNumberFormat="1" applyFont="1" applyAlignment="1">
      <alignment horizontal="center" vertical="center"/>
    </xf>
    <xf numFmtId="164" fontId="10" fillId="0" borderId="5" xfId="0" applyNumberFormat="1" applyFont="1" applyBorder="1" applyAlignment="1">
      <alignment horizontal="center" vertical="center"/>
    </xf>
    <xf numFmtId="0" fontId="1" fillId="6" borderId="5" xfId="0" applyFont="1" applyFill="1" applyBorder="1" applyAlignment="1">
      <alignment horizontal="left" vertical="center"/>
    </xf>
    <xf numFmtId="0" fontId="1" fillId="6" borderId="6" xfId="0" applyFont="1" applyFill="1" applyBorder="1" applyAlignment="1">
      <alignment horizontal="right" vertical="center"/>
    </xf>
    <xf numFmtId="165" fontId="10" fillId="0" borderId="15" xfId="0" applyNumberFormat="1" applyFont="1" applyBorder="1" applyAlignment="1">
      <alignment horizontal="center" vertical="center"/>
    </xf>
    <xf numFmtId="165" fontId="10" fillId="0" borderId="16" xfId="0" applyNumberFormat="1" applyFont="1" applyBorder="1" applyAlignment="1">
      <alignment horizontal="center" vertical="center"/>
    </xf>
    <xf numFmtId="165" fontId="10" fillId="0" borderId="17" xfId="0" applyNumberFormat="1" applyFont="1" applyBorder="1" applyAlignment="1">
      <alignment horizontal="center" vertical="center"/>
    </xf>
    <xf numFmtId="0" fontId="1" fillId="0" borderId="9" xfId="0" applyFont="1" applyBorder="1" applyAlignment="1">
      <alignment horizontal="center" vertical="center"/>
    </xf>
    <xf numFmtId="0" fontId="0" fillId="6" borderId="5" xfId="0" applyFill="1" applyBorder="1" applyAlignment="1">
      <alignment horizontal="left" vertical="center"/>
    </xf>
    <xf numFmtId="164" fontId="10" fillId="0" borderId="3" xfId="0" applyNumberFormat="1" applyFont="1" applyBorder="1" applyAlignment="1">
      <alignment horizontal="center" vertical="center" textRotation="90"/>
    </xf>
    <xf numFmtId="164" fontId="10" fillId="0" borderId="0" xfId="0" applyNumberFormat="1" applyFont="1" applyBorder="1" applyAlignment="1">
      <alignment horizontal="center" vertical="center" textRotation="90"/>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0" xfId="0" applyFont="1" applyBorder="1" applyAlignment="1">
      <alignment horizontal="center" vertical="center"/>
    </xf>
    <xf numFmtId="0" fontId="20" fillId="0" borderId="14" xfId="0" applyFont="1" applyBorder="1" applyAlignment="1">
      <alignment horizontal="center" vertical="center"/>
    </xf>
    <xf numFmtId="0" fontId="1" fillId="0" borderId="16" xfId="0" applyFont="1" applyBorder="1" applyAlignment="1">
      <alignment horizontal="right" vertical="center" textRotation="90"/>
    </xf>
    <xf numFmtId="0" fontId="1" fillId="0" borderId="19" xfId="0" applyFont="1" applyBorder="1" applyAlignment="1">
      <alignment horizontal="right" vertical="center" textRotation="90"/>
    </xf>
    <xf numFmtId="165" fontId="20" fillId="0" borderId="9" xfId="0" applyNumberFormat="1" applyFont="1" applyBorder="1" applyAlignment="1">
      <alignment horizontal="center" vertical="center"/>
    </xf>
    <xf numFmtId="0" fontId="1" fillId="0" borderId="20" xfId="0" applyFont="1" applyBorder="1" applyAlignment="1">
      <alignment horizontal="right" vertical="center" textRotation="90"/>
    </xf>
    <xf numFmtId="0" fontId="22" fillId="6" borderId="0" xfId="0" applyFont="1" applyFill="1" applyBorder="1" applyAlignment="1">
      <alignment horizontal="left" vertical="center" wrapText="1"/>
    </xf>
    <xf numFmtId="0" fontId="21" fillId="6" borderId="0" xfId="0" applyFont="1" applyFill="1" applyBorder="1" applyAlignment="1">
      <alignment horizontal="left" vertical="center" wrapText="1"/>
    </xf>
    <xf numFmtId="0" fontId="1" fillId="6" borderId="3" xfId="0" applyFont="1" applyFill="1" applyBorder="1" applyAlignment="1">
      <alignment horizontal="right" vertical="center" textRotation="90" wrapText="1"/>
    </xf>
    <xf numFmtId="0" fontId="1" fillId="6" borderId="0" xfId="0" applyFont="1" applyFill="1" applyBorder="1" applyAlignment="1">
      <alignment horizontal="right" vertical="center" textRotation="90" wrapText="1"/>
    </xf>
    <xf numFmtId="0" fontId="1" fillId="6" borderId="1" xfId="0" applyFont="1" applyFill="1" applyBorder="1" applyAlignment="1">
      <alignment horizontal="right" vertical="center" textRotation="90" wrapText="1"/>
    </xf>
    <xf numFmtId="165" fontId="10" fillId="0" borderId="5" xfId="0" applyNumberFormat="1" applyFont="1" applyBorder="1" applyAlignment="1">
      <alignment horizontal="center" vertical="center"/>
    </xf>
    <xf numFmtId="165" fontId="10" fillId="0" borderId="6" xfId="0" applyNumberFormat="1" applyFont="1" applyBorder="1" applyAlignment="1">
      <alignment horizontal="center" vertical="center"/>
    </xf>
    <xf numFmtId="1" fontId="10" fillId="0" borderId="0" xfId="0" applyNumberFormat="1" applyFont="1" applyAlignment="1">
      <alignment horizontal="center" vertical="center"/>
    </xf>
    <xf numFmtId="0" fontId="1" fillId="0" borderId="9" xfId="0" applyFont="1" applyBorder="1" applyAlignment="1">
      <alignment horizontal="center" vertical="center" wrapText="1"/>
    </xf>
    <xf numFmtId="0" fontId="1" fillId="2" borderId="0" xfId="0" applyFont="1" applyFill="1" applyAlignment="1">
      <alignment horizontal="center"/>
    </xf>
    <xf numFmtId="0" fontId="1" fillId="2" borderId="0" xfId="0" applyFont="1" applyFill="1" applyAlignment="1">
      <alignment horizontal="center" vertical="center"/>
    </xf>
    <xf numFmtId="165" fontId="10" fillId="0" borderId="3" xfId="0" applyNumberFormat="1" applyFont="1" applyBorder="1" applyAlignment="1">
      <alignment horizontal="center" vertical="center"/>
    </xf>
    <xf numFmtId="165" fontId="10" fillId="0" borderId="0" xfId="0" applyNumberFormat="1" applyFont="1" applyBorder="1" applyAlignment="1">
      <alignment horizontal="center" vertical="center"/>
    </xf>
    <xf numFmtId="0" fontId="1" fillId="0" borderId="16" xfId="0" applyFont="1" applyBorder="1" applyAlignment="1">
      <alignment horizontal="center" vertical="center"/>
    </xf>
    <xf numFmtId="1" fontId="10" fillId="0" borderId="0" xfId="0" applyNumberFormat="1" applyFont="1" applyBorder="1" applyAlignment="1">
      <alignment horizontal="center" vertical="center"/>
    </xf>
    <xf numFmtId="165" fontId="10" fillId="0" borderId="0" xfId="0" applyNumberFormat="1" applyFont="1" applyAlignment="1">
      <alignment horizontal="center" vertical="center"/>
    </xf>
    <xf numFmtId="165" fontId="10" fillId="0" borderId="1"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165" fontId="10" fillId="0" borderId="19" xfId="0" applyNumberFormat="1" applyFont="1" applyBorder="1" applyAlignment="1">
      <alignment horizontal="center" vertical="center"/>
    </xf>
    <xf numFmtId="165" fontId="10" fillId="0" borderId="20" xfId="0" applyNumberFormat="1" applyFont="1" applyBorder="1" applyAlignment="1">
      <alignment horizontal="center" vertical="center"/>
    </xf>
    <xf numFmtId="0" fontId="1" fillId="0" borderId="0" xfId="0" applyFont="1" applyAlignment="1">
      <alignment horizontal="left"/>
    </xf>
    <xf numFmtId="0" fontId="1" fillId="5" borderId="0" xfId="0" applyFont="1" applyFill="1" applyAlignment="1">
      <alignment horizontal="center" vertical="center"/>
    </xf>
    <xf numFmtId="165" fontId="10" fillId="0" borderId="18" xfId="0" applyNumberFormat="1" applyFont="1" applyBorder="1" applyAlignment="1">
      <alignment horizontal="center" vertical="center"/>
    </xf>
    <xf numFmtId="166" fontId="10" fillId="0" borderId="0" xfId="0" applyNumberFormat="1" applyFont="1" applyAlignment="1">
      <alignment horizontal="center" vertical="center"/>
    </xf>
    <xf numFmtId="49" fontId="1" fillId="0" borderId="0" xfId="0" applyNumberFormat="1" applyFont="1" applyAlignment="1">
      <alignment horizontal="left" vertical="center"/>
    </xf>
    <xf numFmtId="0" fontId="18" fillId="11" borderId="0" xfId="0" applyFont="1" applyFill="1" applyAlignment="1">
      <alignment horizontal="center" vertical="center"/>
    </xf>
    <xf numFmtId="0" fontId="1" fillId="10" borderId="0" xfId="0" applyFont="1" applyFill="1"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center" vertical="center"/>
    </xf>
    <xf numFmtId="0" fontId="0" fillId="0" borderId="0" xfId="0" applyAlignment="1">
      <alignment horizontal="left" vertical="center" wrapText="1"/>
    </xf>
    <xf numFmtId="0" fontId="1" fillId="7" borderId="0" xfId="0" applyFont="1" applyFill="1" applyAlignment="1" applyProtection="1">
      <alignment horizontal="left" vertical="center"/>
      <protection locked="0"/>
    </xf>
    <xf numFmtId="0" fontId="1" fillId="3" borderId="0" xfId="0" applyFont="1" applyFill="1" applyAlignment="1">
      <alignment horizontal="left"/>
    </xf>
    <xf numFmtId="0" fontId="1" fillId="3" borderId="0" xfId="0" applyFont="1" applyFill="1" applyAlignment="1">
      <alignment horizontal="right" vertical="center"/>
    </xf>
  </cellXfs>
  <cellStyles count="2">
    <cellStyle name="Hiperłącze" xfId="1" builtinId="8"/>
    <cellStyle name="Normalny" xfId="0" builtinId="0"/>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DDDDDD"/>
        </patternFill>
      </fill>
    </dxf>
    <dxf>
      <font>
        <b/>
        <i val="0"/>
      </font>
      <fill>
        <patternFill>
          <bgColor rgb="FFDDDDDD"/>
        </patternFill>
      </fill>
    </dxf>
    <dxf>
      <font>
        <b/>
        <i val="0"/>
      </font>
      <fill>
        <patternFill>
          <bgColor rgb="FFDDDDDD"/>
        </patternFill>
      </fill>
    </dxf>
    <dxf>
      <font>
        <b/>
        <i val="0"/>
      </font>
      <fill>
        <patternFill>
          <bgColor rgb="FFDDDDDD"/>
        </patternFill>
      </fill>
    </dxf>
    <dxf>
      <fill>
        <patternFill>
          <bgColor rgb="FFCCFF99"/>
        </patternFill>
      </fill>
    </dxf>
    <dxf>
      <fill>
        <patternFill>
          <bgColor rgb="FFCCFF99"/>
        </patternFill>
      </fill>
    </dxf>
  </dxfs>
  <tableStyles count="0" defaultTableStyle="TableStyleMedium2" defaultPivotStyle="PivotStyleLight16"/>
  <colors>
    <mruColors>
      <color rgb="FFFFFFCC"/>
      <color rgb="FFDDDDDD"/>
      <color rgb="FF66FFFF"/>
      <color rgb="FF11C1FF"/>
      <color rgb="FFFF7575"/>
      <color rgb="FFFF3300"/>
      <color rgb="FF89CC40"/>
      <color rgb="FF29C7FF"/>
      <color rgb="FF33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9.emf"/></Relationships>
</file>

<file path=xl/drawings/_rels/drawing12.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emf"/><Relationship Id="rId6" Type="http://schemas.openxmlformats.org/officeDocument/2006/relationships/image" Target="../media/image45.png"/><Relationship Id="rId5" Type="http://schemas.openxmlformats.org/officeDocument/2006/relationships/image" Target="../media/image44.png"/><Relationship Id="rId4" Type="http://schemas.openxmlformats.org/officeDocument/2006/relationships/image" Target="../media/image4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7.emf"/><Relationship Id="rId1" Type="http://schemas.openxmlformats.org/officeDocument/2006/relationships/image" Target="../media/image46.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8.emf"/></Relationships>
</file>

<file path=xl/drawings/_rels/drawing15.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9.emf"/></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 Id="rId9" Type="http://schemas.openxmlformats.org/officeDocument/2006/relationships/image" Target="../media/image10.emf"/></Relationships>
</file>

<file path=xl/drawings/_rels/drawing3.xml.rels><?xml version="1.0" encoding="UTF-8" standalone="yes"?>
<Relationships xmlns="http://schemas.openxmlformats.org/package/2006/relationships"><Relationship Id="rId3" Type="http://schemas.openxmlformats.org/officeDocument/2006/relationships/image" Target="../media/image13.wmf"/><Relationship Id="rId7" Type="http://schemas.openxmlformats.org/officeDocument/2006/relationships/image" Target="../media/image17.wmf"/><Relationship Id="rId2" Type="http://schemas.openxmlformats.org/officeDocument/2006/relationships/image" Target="../media/image12.wmf"/><Relationship Id="rId1" Type="http://schemas.openxmlformats.org/officeDocument/2006/relationships/image" Target="../media/image11.emf"/><Relationship Id="rId6" Type="http://schemas.openxmlformats.org/officeDocument/2006/relationships/image" Target="../media/image16.wmf"/><Relationship Id="rId5" Type="http://schemas.openxmlformats.org/officeDocument/2006/relationships/image" Target="../media/image15.wmf"/><Relationship Id="rId4" Type="http://schemas.openxmlformats.org/officeDocument/2006/relationships/image" Target="../media/image14.wmf"/></Relationships>
</file>

<file path=xl/drawings/_rels/drawing4.xml.rels><?xml version="1.0" encoding="UTF-8" standalone="yes"?>
<Relationships xmlns="http://schemas.openxmlformats.org/package/2006/relationships"><Relationship Id="rId8" Type="http://schemas.openxmlformats.org/officeDocument/2006/relationships/image" Target="../media/image25.wmf"/><Relationship Id="rId13" Type="http://schemas.openxmlformats.org/officeDocument/2006/relationships/image" Target="../media/image30.wmf"/><Relationship Id="rId18" Type="http://schemas.openxmlformats.org/officeDocument/2006/relationships/image" Target="../media/image35.wmf"/><Relationship Id="rId3" Type="http://schemas.openxmlformats.org/officeDocument/2006/relationships/image" Target="../media/image20.wmf"/><Relationship Id="rId7" Type="http://schemas.openxmlformats.org/officeDocument/2006/relationships/image" Target="../media/image24.wmf"/><Relationship Id="rId12" Type="http://schemas.openxmlformats.org/officeDocument/2006/relationships/image" Target="../media/image29.wmf"/><Relationship Id="rId17" Type="http://schemas.openxmlformats.org/officeDocument/2006/relationships/image" Target="../media/image34.wmf"/><Relationship Id="rId2" Type="http://schemas.openxmlformats.org/officeDocument/2006/relationships/image" Target="../media/image19.wmf"/><Relationship Id="rId16" Type="http://schemas.openxmlformats.org/officeDocument/2006/relationships/image" Target="../media/image33.wmf"/><Relationship Id="rId1" Type="http://schemas.openxmlformats.org/officeDocument/2006/relationships/image" Target="../media/image18.wmf"/><Relationship Id="rId6" Type="http://schemas.openxmlformats.org/officeDocument/2006/relationships/image" Target="../media/image23.wmf"/><Relationship Id="rId11" Type="http://schemas.openxmlformats.org/officeDocument/2006/relationships/image" Target="../media/image28.wmf"/><Relationship Id="rId5" Type="http://schemas.openxmlformats.org/officeDocument/2006/relationships/image" Target="../media/image22.wmf"/><Relationship Id="rId15" Type="http://schemas.openxmlformats.org/officeDocument/2006/relationships/image" Target="../media/image32.wmf"/><Relationship Id="rId10" Type="http://schemas.openxmlformats.org/officeDocument/2006/relationships/image" Target="../media/image27.wmf"/><Relationship Id="rId19" Type="http://schemas.openxmlformats.org/officeDocument/2006/relationships/image" Target="../media/image36.wmf"/><Relationship Id="rId4" Type="http://schemas.openxmlformats.org/officeDocument/2006/relationships/image" Target="../media/image21.wmf"/><Relationship Id="rId9" Type="http://schemas.openxmlformats.org/officeDocument/2006/relationships/image" Target="../media/image26.wmf"/><Relationship Id="rId14" Type="http://schemas.openxmlformats.org/officeDocument/2006/relationships/image" Target="../media/image31.wmf"/></Relationships>
</file>

<file path=xl/drawings/_rels/drawing5.xml.rels><?xml version="1.0" encoding="UTF-8" standalone="yes"?>
<Relationships xmlns="http://schemas.openxmlformats.org/package/2006/relationships"><Relationship Id="rId1" Type="http://schemas.openxmlformats.org/officeDocument/2006/relationships/image" Target="../media/image37.emf"/></Relationships>
</file>

<file path=xl/drawings/_rels/drawing6.xml.rels><?xml version="1.0" encoding="UTF-8" standalone="yes"?>
<Relationships xmlns="http://schemas.openxmlformats.org/package/2006/relationships"><Relationship Id="rId1" Type="http://schemas.openxmlformats.org/officeDocument/2006/relationships/image" Target="../media/image38.wmf"/></Relationships>
</file>

<file path=xl/drawings/drawing1.xml><?xml version="1.0" encoding="utf-8"?>
<xdr:wsDr xmlns:xdr="http://schemas.openxmlformats.org/drawingml/2006/spreadsheetDrawing" xmlns:a="http://schemas.openxmlformats.org/drawingml/2006/main">
  <xdr:twoCellAnchor editAs="oneCell">
    <xdr:from>
      <xdr:col>1</xdr:col>
      <xdr:colOff>9524</xdr:colOff>
      <xdr:row>0</xdr:row>
      <xdr:rowOff>38100</xdr:rowOff>
    </xdr:from>
    <xdr:to>
      <xdr:col>15</xdr:col>
      <xdr:colOff>607759</xdr:colOff>
      <xdr:row>13</xdr:row>
      <xdr:rowOff>171450</xdr:rowOff>
    </xdr:to>
    <xdr:pic>
      <xdr:nvPicPr>
        <xdr:cNvPr id="6" name="Obraz 5">
          <a:extLst>
            <a:ext uri="{FF2B5EF4-FFF2-40B4-BE49-F238E27FC236}">
              <a16:creationId xmlns:a16="http://schemas.microsoft.com/office/drawing/2014/main" id="{8779B805-DB20-46C6-AD91-E547C27BA3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4" y="38100"/>
          <a:ext cx="9132635" cy="26098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304800</xdr:colOff>
      <xdr:row>22</xdr:row>
      <xdr:rowOff>142875</xdr:rowOff>
    </xdr:from>
    <xdr:to>
      <xdr:col>11</xdr:col>
      <xdr:colOff>304800</xdr:colOff>
      <xdr:row>43</xdr:row>
      <xdr:rowOff>76200</xdr:rowOff>
    </xdr:to>
    <xdr:cxnSp macro="">
      <xdr:nvCxnSpPr>
        <xdr:cNvPr id="2" name="Łącznik prosty 1">
          <a:extLst>
            <a:ext uri="{FF2B5EF4-FFF2-40B4-BE49-F238E27FC236}">
              <a16:creationId xmlns:a16="http://schemas.microsoft.com/office/drawing/2014/main" id="{00000000-0008-0000-0E00-000002000000}"/>
            </a:ext>
          </a:extLst>
        </xdr:cNvPr>
        <xdr:cNvCxnSpPr/>
      </xdr:nvCxnSpPr>
      <xdr:spPr>
        <a:xfrm>
          <a:off x="7010400" y="4333875"/>
          <a:ext cx="0" cy="3962400"/>
        </a:xfrm>
        <a:prstGeom prst="line">
          <a:avLst/>
        </a:prstGeom>
        <a:ln w="28575">
          <a:solidFill>
            <a:srgbClr val="0070C0"/>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222341</xdr:colOff>
      <xdr:row>5</xdr:row>
      <xdr:rowOff>133350</xdr:rowOff>
    </xdr:from>
    <xdr:to>
      <xdr:col>17</xdr:col>
      <xdr:colOff>421142</xdr:colOff>
      <xdr:row>29</xdr:row>
      <xdr:rowOff>76200</xdr:rowOff>
    </xdr:to>
    <xdr:pic>
      <xdr:nvPicPr>
        <xdr:cNvPr id="3" name="Obraz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70341" y="1085850"/>
          <a:ext cx="7514001" cy="45148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552450</xdr:colOff>
      <xdr:row>4</xdr:row>
      <xdr:rowOff>47625</xdr:rowOff>
    </xdr:from>
    <xdr:to>
      <xdr:col>15</xdr:col>
      <xdr:colOff>51938</xdr:colOff>
      <xdr:row>25</xdr:row>
      <xdr:rowOff>146459</xdr:rowOff>
    </xdr:to>
    <xdr:pic>
      <xdr:nvPicPr>
        <xdr:cNvPr id="8" name="Obraz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0" y="809625"/>
          <a:ext cx="4376288" cy="4099334"/>
        </a:xfrm>
        <a:prstGeom prst="rect">
          <a:avLst/>
        </a:prstGeom>
      </xdr:spPr>
    </xdr:pic>
    <xdr:clientData/>
  </xdr:twoCellAnchor>
  <xdr:twoCellAnchor editAs="oneCell">
    <xdr:from>
      <xdr:col>5</xdr:col>
      <xdr:colOff>266700</xdr:colOff>
      <xdr:row>34</xdr:row>
      <xdr:rowOff>38100</xdr:rowOff>
    </xdr:from>
    <xdr:to>
      <xdr:col>9</xdr:col>
      <xdr:colOff>349001</xdr:colOff>
      <xdr:row>43</xdr:row>
      <xdr:rowOff>158500</xdr:rowOff>
    </xdr:to>
    <xdr:pic>
      <xdr:nvPicPr>
        <xdr:cNvPr id="7" name="Obraz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6300" y="5943600"/>
          <a:ext cx="2520701" cy="1834900"/>
        </a:xfrm>
        <a:prstGeom prst="rect">
          <a:avLst/>
        </a:prstGeom>
      </xdr:spPr>
    </xdr:pic>
    <xdr:clientData/>
  </xdr:twoCellAnchor>
  <xdr:twoCellAnchor editAs="oneCell">
    <xdr:from>
      <xdr:col>5</xdr:col>
      <xdr:colOff>257175</xdr:colOff>
      <xdr:row>45</xdr:row>
      <xdr:rowOff>38100</xdr:rowOff>
    </xdr:from>
    <xdr:to>
      <xdr:col>9</xdr:col>
      <xdr:colOff>339476</xdr:colOff>
      <xdr:row>54</xdr:row>
      <xdr:rowOff>158500</xdr:rowOff>
    </xdr:to>
    <xdr:pic>
      <xdr:nvPicPr>
        <xdr:cNvPr id="9" name="Obraz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6775" y="8039100"/>
          <a:ext cx="2520701" cy="1834900"/>
        </a:xfrm>
        <a:prstGeom prst="rect">
          <a:avLst/>
        </a:prstGeom>
      </xdr:spPr>
    </xdr:pic>
    <xdr:clientData/>
  </xdr:twoCellAnchor>
  <xdr:twoCellAnchor editAs="oneCell">
    <xdr:from>
      <xdr:col>5</xdr:col>
      <xdr:colOff>257175</xdr:colOff>
      <xdr:row>56</xdr:row>
      <xdr:rowOff>38100</xdr:rowOff>
    </xdr:from>
    <xdr:to>
      <xdr:col>9</xdr:col>
      <xdr:colOff>339476</xdr:colOff>
      <xdr:row>65</xdr:row>
      <xdr:rowOff>158500</xdr:rowOff>
    </xdr:to>
    <xdr:pic>
      <xdr:nvPicPr>
        <xdr:cNvPr id="10" name="Obraz 9">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66775" y="10134600"/>
          <a:ext cx="2520701" cy="1834900"/>
        </a:xfrm>
        <a:prstGeom prst="rect">
          <a:avLst/>
        </a:prstGeom>
      </xdr:spPr>
    </xdr:pic>
    <xdr:clientData/>
  </xdr:twoCellAnchor>
  <xdr:twoCellAnchor editAs="oneCell">
    <xdr:from>
      <xdr:col>5</xdr:col>
      <xdr:colOff>257175</xdr:colOff>
      <xdr:row>67</xdr:row>
      <xdr:rowOff>38100</xdr:rowOff>
    </xdr:from>
    <xdr:to>
      <xdr:col>9</xdr:col>
      <xdr:colOff>339476</xdr:colOff>
      <xdr:row>76</xdr:row>
      <xdr:rowOff>158500</xdr:rowOff>
    </xdr:to>
    <xdr:pic>
      <xdr:nvPicPr>
        <xdr:cNvPr id="11" name="Obraz 10">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6775" y="12230100"/>
          <a:ext cx="2520701" cy="1834900"/>
        </a:xfrm>
        <a:prstGeom prst="rect">
          <a:avLst/>
        </a:prstGeom>
      </xdr:spPr>
    </xdr:pic>
    <xdr:clientData/>
  </xdr:twoCellAnchor>
  <xdr:twoCellAnchor editAs="oneCell">
    <xdr:from>
      <xdr:col>5</xdr:col>
      <xdr:colOff>257175</xdr:colOff>
      <xdr:row>78</xdr:row>
      <xdr:rowOff>38100</xdr:rowOff>
    </xdr:from>
    <xdr:to>
      <xdr:col>9</xdr:col>
      <xdr:colOff>339476</xdr:colOff>
      <xdr:row>87</xdr:row>
      <xdr:rowOff>158500</xdr:rowOff>
    </xdr:to>
    <xdr:pic>
      <xdr:nvPicPr>
        <xdr:cNvPr id="2" name="Obraz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305175" y="14897100"/>
          <a:ext cx="2520701" cy="18349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180975</xdr:colOff>
      <xdr:row>20</xdr:row>
      <xdr:rowOff>104775</xdr:rowOff>
    </xdr:from>
    <xdr:to>
      <xdr:col>15</xdr:col>
      <xdr:colOff>428625</xdr:colOff>
      <xdr:row>47</xdr:row>
      <xdr:rowOff>88707</xdr:rowOff>
    </xdr:to>
    <xdr:pic>
      <xdr:nvPicPr>
        <xdr:cNvPr id="11" name="Obraz 10">
          <a:extLst>
            <a:ext uri="{FF2B5EF4-FFF2-40B4-BE49-F238E27FC236}">
              <a16:creationId xmlns:a16="http://schemas.microsoft.com/office/drawing/2014/main" id="{00000000-0008-0000-11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9775" y="2390775"/>
          <a:ext cx="5124450" cy="5127432"/>
        </a:xfrm>
        <a:prstGeom prst="rect">
          <a:avLst/>
        </a:prstGeom>
      </xdr:spPr>
    </xdr:pic>
    <xdr:clientData/>
  </xdr:twoCellAnchor>
  <xdr:twoCellAnchor editAs="oneCell">
    <xdr:from>
      <xdr:col>5</xdr:col>
      <xdr:colOff>95250</xdr:colOff>
      <xdr:row>4</xdr:row>
      <xdr:rowOff>28575</xdr:rowOff>
    </xdr:from>
    <xdr:to>
      <xdr:col>17</xdr:col>
      <xdr:colOff>523906</xdr:colOff>
      <xdr:row>15</xdr:row>
      <xdr:rowOff>161925</xdr:rowOff>
    </xdr:to>
    <xdr:pic>
      <xdr:nvPicPr>
        <xdr:cNvPr id="4" name="Obraz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43250" y="790575"/>
          <a:ext cx="7743856" cy="22288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285750</xdr:colOff>
      <xdr:row>5</xdr:row>
      <xdr:rowOff>76200</xdr:rowOff>
    </xdr:from>
    <xdr:to>
      <xdr:col>17</xdr:col>
      <xdr:colOff>326438</xdr:colOff>
      <xdr:row>45</xdr:row>
      <xdr:rowOff>131701</xdr:rowOff>
    </xdr:to>
    <xdr:pic>
      <xdr:nvPicPr>
        <xdr:cNvPr id="4" name="Obraz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5350" y="1028700"/>
          <a:ext cx="7355888" cy="767550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76201</xdr:colOff>
      <xdr:row>29</xdr:row>
      <xdr:rowOff>142875</xdr:rowOff>
    </xdr:from>
    <xdr:to>
      <xdr:col>18</xdr:col>
      <xdr:colOff>547214</xdr:colOff>
      <xdr:row>45</xdr:row>
      <xdr:rowOff>51126</xdr:rowOff>
    </xdr:to>
    <xdr:pic>
      <xdr:nvPicPr>
        <xdr:cNvPr id="7" name="Obraz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14601" y="5705475"/>
          <a:ext cx="9005413" cy="2956251"/>
        </a:xfrm>
        <a:prstGeom prst="rect">
          <a:avLst/>
        </a:prstGeom>
      </xdr:spPr>
    </xdr:pic>
    <xdr:clientData/>
  </xdr:twoCellAnchor>
  <xdr:twoCellAnchor editAs="oneCell">
    <xdr:from>
      <xdr:col>4</xdr:col>
      <xdr:colOff>266700</xdr:colOff>
      <xdr:row>8</xdr:row>
      <xdr:rowOff>133350</xdr:rowOff>
    </xdr:from>
    <xdr:to>
      <xdr:col>8</xdr:col>
      <xdr:colOff>349001</xdr:colOff>
      <xdr:row>18</xdr:row>
      <xdr:rowOff>63250</xdr:rowOff>
    </xdr:to>
    <xdr:pic>
      <xdr:nvPicPr>
        <xdr:cNvPr id="2" name="Obraz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05100" y="1657350"/>
          <a:ext cx="2520701" cy="183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5</xdr:row>
      <xdr:rowOff>66675</xdr:rowOff>
    </xdr:from>
    <xdr:to>
      <xdr:col>5</xdr:col>
      <xdr:colOff>1670775</xdr:colOff>
      <xdr:row>5</xdr:row>
      <xdr:rowOff>1034175</xdr:rowOff>
    </xdr:to>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96550" y="1019175"/>
          <a:ext cx="1489800" cy="967500"/>
        </a:xfrm>
        <a:prstGeom prst="rect">
          <a:avLst/>
        </a:prstGeom>
      </xdr:spPr>
    </xdr:pic>
    <xdr:clientData/>
  </xdr:twoCellAnchor>
  <xdr:twoCellAnchor editAs="oneCell">
    <xdr:from>
      <xdr:col>7</xdr:col>
      <xdr:colOff>180975</xdr:colOff>
      <xdr:row>5</xdr:row>
      <xdr:rowOff>57150</xdr:rowOff>
    </xdr:from>
    <xdr:to>
      <xdr:col>7</xdr:col>
      <xdr:colOff>1670775</xdr:colOff>
      <xdr:row>5</xdr:row>
      <xdr:rowOff>1024650</xdr:rowOff>
    </xdr:to>
    <xdr:pic>
      <xdr:nvPicPr>
        <xdr:cNvPr id="3" name="Obraz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67750" y="1009650"/>
          <a:ext cx="1489800" cy="967500"/>
        </a:xfrm>
        <a:prstGeom prst="rect">
          <a:avLst/>
        </a:prstGeom>
      </xdr:spPr>
    </xdr:pic>
    <xdr:clientData/>
  </xdr:twoCellAnchor>
  <xdr:twoCellAnchor editAs="oneCell">
    <xdr:from>
      <xdr:col>9</xdr:col>
      <xdr:colOff>180975</xdr:colOff>
      <xdr:row>5</xdr:row>
      <xdr:rowOff>66675</xdr:rowOff>
    </xdr:from>
    <xdr:to>
      <xdr:col>9</xdr:col>
      <xdr:colOff>1670775</xdr:colOff>
      <xdr:row>5</xdr:row>
      <xdr:rowOff>1034175</xdr:rowOff>
    </xdr:to>
    <xdr:pic>
      <xdr:nvPicPr>
        <xdr:cNvPr id="4" name="Obraz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496550" y="1019175"/>
          <a:ext cx="1489800" cy="967500"/>
        </a:xfrm>
        <a:prstGeom prst="rect">
          <a:avLst/>
        </a:prstGeom>
      </xdr:spPr>
    </xdr:pic>
    <xdr:clientData/>
  </xdr:twoCellAnchor>
  <xdr:twoCellAnchor editAs="oneCell">
    <xdr:from>
      <xdr:col>12</xdr:col>
      <xdr:colOff>180975</xdr:colOff>
      <xdr:row>5</xdr:row>
      <xdr:rowOff>66675</xdr:rowOff>
    </xdr:from>
    <xdr:to>
      <xdr:col>12</xdr:col>
      <xdr:colOff>1670775</xdr:colOff>
      <xdr:row>5</xdr:row>
      <xdr:rowOff>1034175</xdr:rowOff>
    </xdr:to>
    <xdr:pic>
      <xdr:nvPicPr>
        <xdr:cNvPr id="5" name="Obraz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154150" y="1019175"/>
          <a:ext cx="1489800" cy="967500"/>
        </a:xfrm>
        <a:prstGeom prst="rect">
          <a:avLst/>
        </a:prstGeom>
      </xdr:spPr>
    </xdr:pic>
    <xdr:clientData/>
  </xdr:twoCellAnchor>
  <xdr:twoCellAnchor editAs="oneCell">
    <xdr:from>
      <xdr:col>11</xdr:col>
      <xdr:colOff>180975</xdr:colOff>
      <xdr:row>5</xdr:row>
      <xdr:rowOff>66675</xdr:rowOff>
    </xdr:from>
    <xdr:to>
      <xdr:col>11</xdr:col>
      <xdr:colOff>1670775</xdr:colOff>
      <xdr:row>5</xdr:row>
      <xdr:rowOff>1034175</xdr:rowOff>
    </xdr:to>
    <xdr:pic>
      <xdr:nvPicPr>
        <xdr:cNvPr id="6" name="Obraz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325350" y="1019175"/>
          <a:ext cx="1489800" cy="967500"/>
        </a:xfrm>
        <a:prstGeom prst="rect">
          <a:avLst/>
        </a:prstGeom>
      </xdr:spPr>
    </xdr:pic>
    <xdr:clientData/>
  </xdr:twoCellAnchor>
  <xdr:twoCellAnchor editAs="oneCell">
    <xdr:from>
      <xdr:col>15</xdr:col>
      <xdr:colOff>180975</xdr:colOff>
      <xdr:row>5</xdr:row>
      <xdr:rowOff>66675</xdr:rowOff>
    </xdr:from>
    <xdr:to>
      <xdr:col>15</xdr:col>
      <xdr:colOff>1670775</xdr:colOff>
      <xdr:row>5</xdr:row>
      <xdr:rowOff>1034175</xdr:rowOff>
    </xdr:to>
    <xdr:pic>
      <xdr:nvPicPr>
        <xdr:cNvPr id="7" name="Obraz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982950" y="1019175"/>
          <a:ext cx="1489800" cy="967500"/>
        </a:xfrm>
        <a:prstGeom prst="rect">
          <a:avLst/>
        </a:prstGeom>
      </xdr:spPr>
    </xdr:pic>
    <xdr:clientData/>
  </xdr:twoCellAnchor>
  <xdr:twoCellAnchor editAs="oneCell">
    <xdr:from>
      <xdr:col>16</xdr:col>
      <xdr:colOff>180975</xdr:colOff>
      <xdr:row>5</xdr:row>
      <xdr:rowOff>66675</xdr:rowOff>
    </xdr:from>
    <xdr:to>
      <xdr:col>16</xdr:col>
      <xdr:colOff>1670775</xdr:colOff>
      <xdr:row>5</xdr:row>
      <xdr:rowOff>1034175</xdr:rowOff>
    </xdr:to>
    <xdr:pic>
      <xdr:nvPicPr>
        <xdr:cNvPr id="8" name="Obraz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811750" y="1019175"/>
          <a:ext cx="1489800" cy="967500"/>
        </a:xfrm>
        <a:prstGeom prst="rect">
          <a:avLst/>
        </a:prstGeom>
      </xdr:spPr>
    </xdr:pic>
    <xdr:clientData/>
  </xdr:twoCellAnchor>
  <xdr:twoCellAnchor editAs="oneCell">
    <xdr:from>
      <xdr:col>18</xdr:col>
      <xdr:colOff>190500</xdr:colOff>
      <xdr:row>5</xdr:row>
      <xdr:rowOff>57150</xdr:rowOff>
    </xdr:from>
    <xdr:to>
      <xdr:col>18</xdr:col>
      <xdr:colOff>1680300</xdr:colOff>
      <xdr:row>5</xdr:row>
      <xdr:rowOff>1024650</xdr:rowOff>
    </xdr:to>
    <xdr:pic>
      <xdr:nvPicPr>
        <xdr:cNvPr id="11" name="Obraz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1478875" y="1009650"/>
          <a:ext cx="1489800" cy="967500"/>
        </a:xfrm>
        <a:prstGeom prst="rect">
          <a:avLst/>
        </a:prstGeom>
      </xdr:spPr>
    </xdr:pic>
    <xdr:clientData/>
  </xdr:twoCellAnchor>
  <xdr:twoCellAnchor editAs="oneCell">
    <xdr:from>
      <xdr:col>3</xdr:col>
      <xdr:colOff>180975</xdr:colOff>
      <xdr:row>5</xdr:row>
      <xdr:rowOff>66675</xdr:rowOff>
    </xdr:from>
    <xdr:to>
      <xdr:col>3</xdr:col>
      <xdr:colOff>1670775</xdr:colOff>
      <xdr:row>5</xdr:row>
      <xdr:rowOff>1034175</xdr:rowOff>
    </xdr:to>
    <xdr:pic>
      <xdr:nvPicPr>
        <xdr:cNvPr id="18" name="Obraz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838950" y="1019175"/>
          <a:ext cx="1489800" cy="967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180975</xdr:colOff>
      <xdr:row>5</xdr:row>
      <xdr:rowOff>66675</xdr:rowOff>
    </xdr:from>
    <xdr:to>
      <xdr:col>3</xdr:col>
      <xdr:colOff>1670775</xdr:colOff>
      <xdr:row>5</xdr:row>
      <xdr:rowOff>1034175</xdr:rowOff>
    </xdr:to>
    <xdr:pic>
      <xdr:nvPicPr>
        <xdr:cNvPr id="12" name="Obraz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38950" y="1019175"/>
          <a:ext cx="1489800" cy="967500"/>
        </a:xfrm>
        <a:prstGeom prst="rect">
          <a:avLst/>
        </a:prstGeom>
      </xdr:spPr>
    </xdr:pic>
    <xdr:clientData/>
  </xdr:twoCellAnchor>
  <xdr:twoCellAnchor editAs="oneCell">
    <xdr:from>
      <xdr:col>5</xdr:col>
      <xdr:colOff>171450</xdr:colOff>
      <xdr:row>5</xdr:row>
      <xdr:rowOff>76200</xdr:rowOff>
    </xdr:from>
    <xdr:to>
      <xdr:col>5</xdr:col>
      <xdr:colOff>1652778</xdr:colOff>
      <xdr:row>5</xdr:row>
      <xdr:rowOff>1039978</xdr:rowOff>
    </xdr:to>
    <xdr:pic>
      <xdr:nvPicPr>
        <xdr:cNvPr id="13" name="Obraz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87025" y="1028700"/>
          <a:ext cx="1481328" cy="963778"/>
        </a:xfrm>
        <a:prstGeom prst="rect">
          <a:avLst/>
        </a:prstGeom>
      </xdr:spPr>
    </xdr:pic>
    <xdr:clientData/>
  </xdr:twoCellAnchor>
  <xdr:twoCellAnchor editAs="oneCell">
    <xdr:from>
      <xdr:col>7</xdr:col>
      <xdr:colOff>171450</xdr:colOff>
      <xdr:row>5</xdr:row>
      <xdr:rowOff>66675</xdr:rowOff>
    </xdr:from>
    <xdr:to>
      <xdr:col>7</xdr:col>
      <xdr:colOff>1652778</xdr:colOff>
      <xdr:row>5</xdr:row>
      <xdr:rowOff>1030453</xdr:rowOff>
    </xdr:to>
    <xdr:pic>
      <xdr:nvPicPr>
        <xdr:cNvPr id="14" name="Obraz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144625" y="1019175"/>
          <a:ext cx="1481328" cy="963778"/>
        </a:xfrm>
        <a:prstGeom prst="rect">
          <a:avLst/>
        </a:prstGeom>
      </xdr:spPr>
    </xdr:pic>
    <xdr:clientData/>
  </xdr:twoCellAnchor>
  <xdr:twoCellAnchor editAs="oneCell">
    <xdr:from>
      <xdr:col>9</xdr:col>
      <xdr:colOff>171450</xdr:colOff>
      <xdr:row>5</xdr:row>
      <xdr:rowOff>66675</xdr:rowOff>
    </xdr:from>
    <xdr:to>
      <xdr:col>9</xdr:col>
      <xdr:colOff>1652778</xdr:colOff>
      <xdr:row>5</xdr:row>
      <xdr:rowOff>1030453</xdr:rowOff>
    </xdr:to>
    <xdr:pic>
      <xdr:nvPicPr>
        <xdr:cNvPr id="15" name="Obraz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802225" y="1019175"/>
          <a:ext cx="1481328" cy="963778"/>
        </a:xfrm>
        <a:prstGeom prst="rect">
          <a:avLst/>
        </a:prstGeom>
      </xdr:spPr>
    </xdr:pic>
    <xdr:clientData/>
  </xdr:twoCellAnchor>
  <xdr:twoCellAnchor editAs="oneCell">
    <xdr:from>
      <xdr:col>11</xdr:col>
      <xdr:colOff>171450</xdr:colOff>
      <xdr:row>5</xdr:row>
      <xdr:rowOff>66675</xdr:rowOff>
    </xdr:from>
    <xdr:to>
      <xdr:col>11</xdr:col>
      <xdr:colOff>1652778</xdr:colOff>
      <xdr:row>5</xdr:row>
      <xdr:rowOff>1029538</xdr:rowOff>
    </xdr:to>
    <xdr:pic>
      <xdr:nvPicPr>
        <xdr:cNvPr id="16" name="Obraz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459825" y="1019175"/>
          <a:ext cx="1481328" cy="962863"/>
        </a:xfrm>
        <a:prstGeom prst="rect">
          <a:avLst/>
        </a:prstGeom>
      </xdr:spPr>
    </xdr:pic>
    <xdr:clientData/>
  </xdr:twoCellAnchor>
  <xdr:twoCellAnchor editAs="oneCell">
    <xdr:from>
      <xdr:col>13</xdr:col>
      <xdr:colOff>180975</xdr:colOff>
      <xdr:row>5</xdr:row>
      <xdr:rowOff>66675</xdr:rowOff>
    </xdr:from>
    <xdr:to>
      <xdr:col>13</xdr:col>
      <xdr:colOff>1661389</xdr:colOff>
      <xdr:row>5</xdr:row>
      <xdr:rowOff>1030453</xdr:rowOff>
    </xdr:to>
    <xdr:pic>
      <xdr:nvPicPr>
        <xdr:cNvPr id="2" name="Obraz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126950" y="1019175"/>
          <a:ext cx="1480414" cy="963778"/>
        </a:xfrm>
        <a:prstGeom prst="rect">
          <a:avLst/>
        </a:prstGeom>
      </xdr:spPr>
    </xdr:pic>
    <xdr:clientData/>
  </xdr:twoCellAnchor>
  <xdr:twoCellAnchor editAs="oneCell">
    <xdr:from>
      <xdr:col>15</xdr:col>
      <xdr:colOff>180975</xdr:colOff>
      <xdr:row>5</xdr:row>
      <xdr:rowOff>66675</xdr:rowOff>
    </xdr:from>
    <xdr:to>
      <xdr:col>15</xdr:col>
      <xdr:colOff>1661389</xdr:colOff>
      <xdr:row>5</xdr:row>
      <xdr:rowOff>1030453</xdr:rowOff>
    </xdr:to>
    <xdr:pic>
      <xdr:nvPicPr>
        <xdr:cNvPr id="3" name="Obraz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784550" y="1019175"/>
          <a:ext cx="1480414" cy="9637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180975</xdr:colOff>
      <xdr:row>5</xdr:row>
      <xdr:rowOff>66675</xdr:rowOff>
    </xdr:from>
    <xdr:to>
      <xdr:col>14</xdr:col>
      <xdr:colOff>1661389</xdr:colOff>
      <xdr:row>5</xdr:row>
      <xdr:rowOff>1030453</xdr:rowOff>
    </xdr:to>
    <xdr:pic>
      <xdr:nvPicPr>
        <xdr:cNvPr id="4" name="Obraz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955750" y="1019175"/>
          <a:ext cx="1480414" cy="963778"/>
        </a:xfrm>
        <a:prstGeom prst="rect">
          <a:avLst/>
        </a:prstGeom>
      </xdr:spPr>
    </xdr:pic>
    <xdr:clientData/>
  </xdr:twoCellAnchor>
  <xdr:twoCellAnchor editAs="oneCell">
    <xdr:from>
      <xdr:col>13</xdr:col>
      <xdr:colOff>180975</xdr:colOff>
      <xdr:row>5</xdr:row>
      <xdr:rowOff>66675</xdr:rowOff>
    </xdr:from>
    <xdr:to>
      <xdr:col>13</xdr:col>
      <xdr:colOff>1661389</xdr:colOff>
      <xdr:row>5</xdr:row>
      <xdr:rowOff>1030453</xdr:rowOff>
    </xdr:to>
    <xdr:pic>
      <xdr:nvPicPr>
        <xdr:cNvPr id="2" name="Obraz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126950" y="1019175"/>
          <a:ext cx="1480414" cy="963778"/>
        </a:xfrm>
        <a:prstGeom prst="rect">
          <a:avLst/>
        </a:prstGeom>
      </xdr:spPr>
    </xdr:pic>
    <xdr:clientData/>
  </xdr:twoCellAnchor>
  <xdr:twoCellAnchor editAs="oneCell">
    <xdr:from>
      <xdr:col>12</xdr:col>
      <xdr:colOff>180975</xdr:colOff>
      <xdr:row>5</xdr:row>
      <xdr:rowOff>66675</xdr:rowOff>
    </xdr:from>
    <xdr:to>
      <xdr:col>12</xdr:col>
      <xdr:colOff>1661389</xdr:colOff>
      <xdr:row>5</xdr:row>
      <xdr:rowOff>1030453</xdr:rowOff>
    </xdr:to>
    <xdr:pic>
      <xdr:nvPicPr>
        <xdr:cNvPr id="3" name="Obraz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298150" y="1019175"/>
          <a:ext cx="1480414" cy="963778"/>
        </a:xfrm>
        <a:prstGeom prst="rect">
          <a:avLst/>
        </a:prstGeom>
      </xdr:spPr>
    </xdr:pic>
    <xdr:clientData/>
  </xdr:twoCellAnchor>
  <xdr:twoCellAnchor editAs="oneCell">
    <xdr:from>
      <xdr:col>3</xdr:col>
      <xdr:colOff>180975</xdr:colOff>
      <xdr:row>5</xdr:row>
      <xdr:rowOff>66675</xdr:rowOff>
    </xdr:from>
    <xdr:to>
      <xdr:col>3</xdr:col>
      <xdr:colOff>1661389</xdr:colOff>
      <xdr:row>5</xdr:row>
      <xdr:rowOff>1030453</xdr:rowOff>
    </xdr:to>
    <xdr:pic>
      <xdr:nvPicPr>
        <xdr:cNvPr id="5" name="Obraz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38950" y="1019175"/>
          <a:ext cx="1480414" cy="963778"/>
        </a:xfrm>
        <a:prstGeom prst="rect">
          <a:avLst/>
        </a:prstGeom>
      </xdr:spPr>
    </xdr:pic>
    <xdr:clientData/>
  </xdr:twoCellAnchor>
  <xdr:twoCellAnchor editAs="oneCell">
    <xdr:from>
      <xdr:col>4</xdr:col>
      <xdr:colOff>180975</xdr:colOff>
      <xdr:row>5</xdr:row>
      <xdr:rowOff>66675</xdr:rowOff>
    </xdr:from>
    <xdr:to>
      <xdr:col>4</xdr:col>
      <xdr:colOff>1661389</xdr:colOff>
      <xdr:row>5</xdr:row>
      <xdr:rowOff>1030453</xdr:rowOff>
    </xdr:to>
    <xdr:pic>
      <xdr:nvPicPr>
        <xdr:cNvPr id="6" name="Obraz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67750" y="1019175"/>
          <a:ext cx="1480414" cy="963778"/>
        </a:xfrm>
        <a:prstGeom prst="rect">
          <a:avLst/>
        </a:prstGeom>
      </xdr:spPr>
    </xdr:pic>
    <xdr:clientData/>
  </xdr:twoCellAnchor>
  <xdr:twoCellAnchor editAs="oneCell">
    <xdr:from>
      <xdr:col>5</xdr:col>
      <xdr:colOff>180975</xdr:colOff>
      <xdr:row>5</xdr:row>
      <xdr:rowOff>66675</xdr:rowOff>
    </xdr:from>
    <xdr:to>
      <xdr:col>5</xdr:col>
      <xdr:colOff>1661389</xdr:colOff>
      <xdr:row>5</xdr:row>
      <xdr:rowOff>1030453</xdr:rowOff>
    </xdr:to>
    <xdr:pic>
      <xdr:nvPicPr>
        <xdr:cNvPr id="7" name="Obraz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96550" y="1019175"/>
          <a:ext cx="1480414" cy="963778"/>
        </a:xfrm>
        <a:prstGeom prst="rect">
          <a:avLst/>
        </a:prstGeom>
      </xdr:spPr>
    </xdr:pic>
    <xdr:clientData/>
  </xdr:twoCellAnchor>
  <xdr:twoCellAnchor editAs="oneCell">
    <xdr:from>
      <xdr:col>6</xdr:col>
      <xdr:colOff>190500</xdr:colOff>
      <xdr:row>5</xdr:row>
      <xdr:rowOff>66675</xdr:rowOff>
    </xdr:from>
    <xdr:to>
      <xdr:col>6</xdr:col>
      <xdr:colOff>1670914</xdr:colOff>
      <xdr:row>5</xdr:row>
      <xdr:rowOff>1030453</xdr:rowOff>
    </xdr:to>
    <xdr:pic>
      <xdr:nvPicPr>
        <xdr:cNvPr id="8" name="Obraz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2334875" y="1019175"/>
          <a:ext cx="1480414" cy="963778"/>
        </a:xfrm>
        <a:prstGeom prst="rect">
          <a:avLst/>
        </a:prstGeom>
      </xdr:spPr>
    </xdr:pic>
    <xdr:clientData/>
  </xdr:twoCellAnchor>
  <xdr:twoCellAnchor editAs="oneCell">
    <xdr:from>
      <xdr:col>7</xdr:col>
      <xdr:colOff>180975</xdr:colOff>
      <xdr:row>5</xdr:row>
      <xdr:rowOff>66675</xdr:rowOff>
    </xdr:from>
    <xdr:to>
      <xdr:col>7</xdr:col>
      <xdr:colOff>1661389</xdr:colOff>
      <xdr:row>5</xdr:row>
      <xdr:rowOff>1029538</xdr:rowOff>
    </xdr:to>
    <xdr:pic>
      <xdr:nvPicPr>
        <xdr:cNvPr id="9" name="Obraz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154150" y="1019175"/>
          <a:ext cx="1480414" cy="962863"/>
        </a:xfrm>
        <a:prstGeom prst="rect">
          <a:avLst/>
        </a:prstGeom>
      </xdr:spPr>
    </xdr:pic>
    <xdr:clientData/>
  </xdr:twoCellAnchor>
  <xdr:twoCellAnchor editAs="oneCell">
    <xdr:from>
      <xdr:col>8</xdr:col>
      <xdr:colOff>180975</xdr:colOff>
      <xdr:row>5</xdr:row>
      <xdr:rowOff>66675</xdr:rowOff>
    </xdr:from>
    <xdr:to>
      <xdr:col>8</xdr:col>
      <xdr:colOff>1661389</xdr:colOff>
      <xdr:row>5</xdr:row>
      <xdr:rowOff>1030453</xdr:rowOff>
    </xdr:to>
    <xdr:pic>
      <xdr:nvPicPr>
        <xdr:cNvPr id="10" name="Obraz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5982950" y="1019175"/>
          <a:ext cx="1480414" cy="963778"/>
        </a:xfrm>
        <a:prstGeom prst="rect">
          <a:avLst/>
        </a:prstGeom>
      </xdr:spPr>
    </xdr:pic>
    <xdr:clientData/>
  </xdr:twoCellAnchor>
  <xdr:twoCellAnchor editAs="oneCell">
    <xdr:from>
      <xdr:col>9</xdr:col>
      <xdr:colOff>180975</xdr:colOff>
      <xdr:row>5</xdr:row>
      <xdr:rowOff>66675</xdr:rowOff>
    </xdr:from>
    <xdr:to>
      <xdr:col>9</xdr:col>
      <xdr:colOff>1661389</xdr:colOff>
      <xdr:row>5</xdr:row>
      <xdr:rowOff>1029538</xdr:rowOff>
    </xdr:to>
    <xdr:pic>
      <xdr:nvPicPr>
        <xdr:cNvPr id="11" name="Obraz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7811750" y="1019175"/>
          <a:ext cx="1480414" cy="962863"/>
        </a:xfrm>
        <a:prstGeom prst="rect">
          <a:avLst/>
        </a:prstGeom>
      </xdr:spPr>
    </xdr:pic>
    <xdr:clientData/>
  </xdr:twoCellAnchor>
  <xdr:twoCellAnchor editAs="oneCell">
    <xdr:from>
      <xdr:col>10</xdr:col>
      <xdr:colOff>180975</xdr:colOff>
      <xdr:row>5</xdr:row>
      <xdr:rowOff>66675</xdr:rowOff>
    </xdr:from>
    <xdr:to>
      <xdr:col>10</xdr:col>
      <xdr:colOff>1661389</xdr:colOff>
      <xdr:row>5</xdr:row>
      <xdr:rowOff>1030453</xdr:rowOff>
    </xdr:to>
    <xdr:pic>
      <xdr:nvPicPr>
        <xdr:cNvPr id="12" name="Obraz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9640550" y="1019175"/>
          <a:ext cx="1480414" cy="963778"/>
        </a:xfrm>
        <a:prstGeom prst="rect">
          <a:avLst/>
        </a:prstGeom>
      </xdr:spPr>
    </xdr:pic>
    <xdr:clientData/>
  </xdr:twoCellAnchor>
  <xdr:twoCellAnchor editAs="oneCell">
    <xdr:from>
      <xdr:col>11</xdr:col>
      <xdr:colOff>180975</xdr:colOff>
      <xdr:row>5</xdr:row>
      <xdr:rowOff>66675</xdr:rowOff>
    </xdr:from>
    <xdr:to>
      <xdr:col>11</xdr:col>
      <xdr:colOff>1661389</xdr:colOff>
      <xdr:row>5</xdr:row>
      <xdr:rowOff>1030453</xdr:rowOff>
    </xdr:to>
    <xdr:pic>
      <xdr:nvPicPr>
        <xdr:cNvPr id="13" name="Obraz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1469350" y="1019175"/>
          <a:ext cx="1480414" cy="963778"/>
        </a:xfrm>
        <a:prstGeom prst="rect">
          <a:avLst/>
        </a:prstGeom>
      </xdr:spPr>
    </xdr:pic>
    <xdr:clientData/>
  </xdr:twoCellAnchor>
  <xdr:twoCellAnchor editAs="oneCell">
    <xdr:from>
      <xdr:col>15</xdr:col>
      <xdr:colOff>180975</xdr:colOff>
      <xdr:row>5</xdr:row>
      <xdr:rowOff>66675</xdr:rowOff>
    </xdr:from>
    <xdr:to>
      <xdr:col>15</xdr:col>
      <xdr:colOff>1660474</xdr:colOff>
      <xdr:row>5</xdr:row>
      <xdr:rowOff>1030453</xdr:rowOff>
    </xdr:to>
    <xdr:pic>
      <xdr:nvPicPr>
        <xdr:cNvPr id="14" name="Obraz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8784550" y="1019175"/>
          <a:ext cx="1479499" cy="963778"/>
        </a:xfrm>
        <a:prstGeom prst="rect">
          <a:avLst/>
        </a:prstGeom>
      </xdr:spPr>
    </xdr:pic>
    <xdr:clientData/>
  </xdr:twoCellAnchor>
  <xdr:twoCellAnchor editAs="oneCell">
    <xdr:from>
      <xdr:col>16</xdr:col>
      <xdr:colOff>180975</xdr:colOff>
      <xdr:row>5</xdr:row>
      <xdr:rowOff>66675</xdr:rowOff>
    </xdr:from>
    <xdr:to>
      <xdr:col>16</xdr:col>
      <xdr:colOff>1660474</xdr:colOff>
      <xdr:row>5</xdr:row>
      <xdr:rowOff>1029538</xdr:rowOff>
    </xdr:to>
    <xdr:pic>
      <xdr:nvPicPr>
        <xdr:cNvPr id="15" name="Obraz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0613350" y="1019175"/>
          <a:ext cx="1479499" cy="962863"/>
        </a:xfrm>
        <a:prstGeom prst="rect">
          <a:avLst/>
        </a:prstGeom>
      </xdr:spPr>
    </xdr:pic>
    <xdr:clientData/>
  </xdr:twoCellAnchor>
  <xdr:twoCellAnchor editAs="oneCell">
    <xdr:from>
      <xdr:col>17</xdr:col>
      <xdr:colOff>180975</xdr:colOff>
      <xdr:row>5</xdr:row>
      <xdr:rowOff>66675</xdr:rowOff>
    </xdr:from>
    <xdr:to>
      <xdr:col>17</xdr:col>
      <xdr:colOff>1660474</xdr:colOff>
      <xdr:row>5</xdr:row>
      <xdr:rowOff>1029538</xdr:rowOff>
    </xdr:to>
    <xdr:pic>
      <xdr:nvPicPr>
        <xdr:cNvPr id="16" name="Obraz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2442150" y="1019175"/>
          <a:ext cx="1479499" cy="962863"/>
        </a:xfrm>
        <a:prstGeom prst="rect">
          <a:avLst/>
        </a:prstGeom>
      </xdr:spPr>
    </xdr:pic>
    <xdr:clientData/>
  </xdr:twoCellAnchor>
  <xdr:twoCellAnchor editAs="oneCell">
    <xdr:from>
      <xdr:col>19</xdr:col>
      <xdr:colOff>180975</xdr:colOff>
      <xdr:row>5</xdr:row>
      <xdr:rowOff>66675</xdr:rowOff>
    </xdr:from>
    <xdr:to>
      <xdr:col>19</xdr:col>
      <xdr:colOff>1661389</xdr:colOff>
      <xdr:row>5</xdr:row>
      <xdr:rowOff>1030453</xdr:rowOff>
    </xdr:to>
    <xdr:pic>
      <xdr:nvPicPr>
        <xdr:cNvPr id="20" name="Obraz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6099750" y="1019175"/>
          <a:ext cx="1480414" cy="963778"/>
        </a:xfrm>
        <a:prstGeom prst="rect">
          <a:avLst/>
        </a:prstGeom>
      </xdr:spPr>
    </xdr:pic>
    <xdr:clientData/>
  </xdr:twoCellAnchor>
  <xdr:twoCellAnchor editAs="oneCell">
    <xdr:from>
      <xdr:col>21</xdr:col>
      <xdr:colOff>180975</xdr:colOff>
      <xdr:row>5</xdr:row>
      <xdr:rowOff>66675</xdr:rowOff>
    </xdr:from>
    <xdr:to>
      <xdr:col>21</xdr:col>
      <xdr:colOff>1661389</xdr:colOff>
      <xdr:row>5</xdr:row>
      <xdr:rowOff>1030453</xdr:rowOff>
    </xdr:to>
    <xdr:pic>
      <xdr:nvPicPr>
        <xdr:cNvPr id="22" name="Obraz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757350" y="1019175"/>
          <a:ext cx="1480414" cy="963778"/>
        </a:xfrm>
        <a:prstGeom prst="rect">
          <a:avLst/>
        </a:prstGeom>
      </xdr:spPr>
    </xdr:pic>
    <xdr:clientData/>
  </xdr:twoCellAnchor>
  <xdr:twoCellAnchor editAs="oneCell">
    <xdr:from>
      <xdr:col>18</xdr:col>
      <xdr:colOff>180975</xdr:colOff>
      <xdr:row>5</xdr:row>
      <xdr:rowOff>66675</xdr:rowOff>
    </xdr:from>
    <xdr:to>
      <xdr:col>18</xdr:col>
      <xdr:colOff>1661389</xdr:colOff>
      <xdr:row>5</xdr:row>
      <xdr:rowOff>1030453</xdr:rowOff>
    </xdr:to>
    <xdr:pic>
      <xdr:nvPicPr>
        <xdr:cNvPr id="23" name="Obraz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4270950" y="1019175"/>
          <a:ext cx="1480414" cy="963778"/>
        </a:xfrm>
        <a:prstGeom prst="rect">
          <a:avLst/>
        </a:prstGeom>
      </xdr:spPr>
    </xdr:pic>
    <xdr:clientData/>
  </xdr:twoCellAnchor>
  <xdr:twoCellAnchor editAs="oneCell">
    <xdr:from>
      <xdr:col>20</xdr:col>
      <xdr:colOff>180975</xdr:colOff>
      <xdr:row>5</xdr:row>
      <xdr:rowOff>66675</xdr:rowOff>
    </xdr:from>
    <xdr:to>
      <xdr:col>20</xdr:col>
      <xdr:colOff>1661389</xdr:colOff>
      <xdr:row>5</xdr:row>
      <xdr:rowOff>1030453</xdr:rowOff>
    </xdr:to>
    <xdr:pic>
      <xdr:nvPicPr>
        <xdr:cNvPr id="17" name="Obraz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7928550" y="1019175"/>
          <a:ext cx="1480414" cy="9637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771525</xdr:colOff>
      <xdr:row>26</xdr:row>
      <xdr:rowOff>47624</xdr:rowOff>
    </xdr:from>
    <xdr:to>
      <xdr:col>2</xdr:col>
      <xdr:colOff>971550</xdr:colOff>
      <xdr:row>26</xdr:row>
      <xdr:rowOff>171449</xdr:rowOff>
    </xdr:to>
    <xdr:sp macro="" textlink="">
      <xdr:nvSpPr>
        <xdr:cNvPr id="12" name="Strzałka w dół 11">
          <a:extLst>
            <a:ext uri="{FF2B5EF4-FFF2-40B4-BE49-F238E27FC236}">
              <a16:creationId xmlns:a16="http://schemas.microsoft.com/office/drawing/2014/main" id="{00000000-0008-0000-0500-00000C000000}"/>
            </a:ext>
          </a:extLst>
        </xdr:cNvPr>
        <xdr:cNvSpPr/>
      </xdr:nvSpPr>
      <xdr:spPr>
        <a:xfrm>
          <a:off x="5600700" y="11601449"/>
          <a:ext cx="200025" cy="123825"/>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pl-PL" sz="1100"/>
        </a:p>
      </xdr:txBody>
    </xdr:sp>
    <xdr:clientData/>
  </xdr:twoCellAnchor>
  <xdr:twoCellAnchor>
    <xdr:from>
      <xdr:col>3</xdr:col>
      <xdr:colOff>771525</xdr:colOff>
      <xdr:row>26</xdr:row>
      <xdr:rowOff>47624</xdr:rowOff>
    </xdr:from>
    <xdr:to>
      <xdr:col>3</xdr:col>
      <xdr:colOff>971550</xdr:colOff>
      <xdr:row>26</xdr:row>
      <xdr:rowOff>171449</xdr:rowOff>
    </xdr:to>
    <xdr:sp macro="" textlink="">
      <xdr:nvSpPr>
        <xdr:cNvPr id="13" name="Strzałka w dół 12">
          <a:extLst>
            <a:ext uri="{FF2B5EF4-FFF2-40B4-BE49-F238E27FC236}">
              <a16:creationId xmlns:a16="http://schemas.microsoft.com/office/drawing/2014/main" id="{00000000-0008-0000-0500-00000D000000}"/>
            </a:ext>
          </a:extLst>
        </xdr:cNvPr>
        <xdr:cNvSpPr/>
      </xdr:nvSpPr>
      <xdr:spPr>
        <a:xfrm>
          <a:off x="7429500" y="11601449"/>
          <a:ext cx="200025" cy="123825"/>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xdr:col>
      <xdr:colOff>1123961</xdr:colOff>
      <xdr:row>99</xdr:row>
      <xdr:rowOff>161939</xdr:rowOff>
    </xdr:from>
    <xdr:to>
      <xdr:col>3</xdr:col>
      <xdr:colOff>713336</xdr:colOff>
      <xdr:row>110</xdr:row>
      <xdr:rowOff>22939</xdr:rowOff>
    </xdr:to>
    <xdr:pic>
      <xdr:nvPicPr>
        <xdr:cNvPr id="2" name="Obraz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36" y="18830939"/>
          <a:ext cx="1418175" cy="1956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790575</xdr:colOff>
      <xdr:row>30</xdr:row>
      <xdr:rowOff>47624</xdr:rowOff>
    </xdr:from>
    <xdr:to>
      <xdr:col>3</xdr:col>
      <xdr:colOff>990600</xdr:colOff>
      <xdr:row>30</xdr:row>
      <xdr:rowOff>171449</xdr:rowOff>
    </xdr:to>
    <xdr:sp macro="" textlink="">
      <xdr:nvSpPr>
        <xdr:cNvPr id="12" name="Strzałka w dół 11">
          <a:extLst>
            <a:ext uri="{FF2B5EF4-FFF2-40B4-BE49-F238E27FC236}">
              <a16:creationId xmlns:a16="http://schemas.microsoft.com/office/drawing/2014/main" id="{00000000-0008-0000-0600-00000C000000}"/>
            </a:ext>
          </a:extLst>
        </xdr:cNvPr>
        <xdr:cNvSpPr/>
      </xdr:nvSpPr>
      <xdr:spPr>
        <a:xfrm>
          <a:off x="7448550" y="5762624"/>
          <a:ext cx="200025" cy="123825"/>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pl-PL" sz="1100"/>
        </a:p>
      </xdr:txBody>
    </xdr:sp>
    <xdr:clientData/>
  </xdr:twoCellAnchor>
  <xdr:twoCellAnchor>
    <xdr:from>
      <xdr:col>4</xdr:col>
      <xdr:colOff>809625</xdr:colOff>
      <xdr:row>30</xdr:row>
      <xdr:rowOff>57149</xdr:rowOff>
    </xdr:from>
    <xdr:to>
      <xdr:col>4</xdr:col>
      <xdr:colOff>1009650</xdr:colOff>
      <xdr:row>30</xdr:row>
      <xdr:rowOff>180974</xdr:rowOff>
    </xdr:to>
    <xdr:sp macro="" textlink="">
      <xdr:nvSpPr>
        <xdr:cNvPr id="4" name="Strzałka w dół 3">
          <a:extLst>
            <a:ext uri="{FF2B5EF4-FFF2-40B4-BE49-F238E27FC236}">
              <a16:creationId xmlns:a16="http://schemas.microsoft.com/office/drawing/2014/main" id="{00000000-0008-0000-0600-000004000000}"/>
            </a:ext>
          </a:extLst>
        </xdr:cNvPr>
        <xdr:cNvSpPr/>
      </xdr:nvSpPr>
      <xdr:spPr>
        <a:xfrm>
          <a:off x="9296400" y="5772149"/>
          <a:ext cx="200025" cy="123825"/>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pl-PL" sz="1100"/>
        </a:p>
      </xdr:txBody>
    </xdr:sp>
    <xdr:clientData/>
  </xdr:twoCellAnchor>
  <xdr:twoCellAnchor>
    <xdr:from>
      <xdr:col>5</xdr:col>
      <xdr:colOff>809625</xdr:colOff>
      <xdr:row>30</xdr:row>
      <xdr:rowOff>57149</xdr:rowOff>
    </xdr:from>
    <xdr:to>
      <xdr:col>5</xdr:col>
      <xdr:colOff>1009650</xdr:colOff>
      <xdr:row>30</xdr:row>
      <xdr:rowOff>180974</xdr:rowOff>
    </xdr:to>
    <xdr:sp macro="" textlink="">
      <xdr:nvSpPr>
        <xdr:cNvPr id="5" name="Strzałka w dół 4">
          <a:extLst>
            <a:ext uri="{FF2B5EF4-FFF2-40B4-BE49-F238E27FC236}">
              <a16:creationId xmlns:a16="http://schemas.microsoft.com/office/drawing/2014/main" id="{00000000-0008-0000-0600-000005000000}"/>
            </a:ext>
          </a:extLst>
        </xdr:cNvPr>
        <xdr:cNvSpPr/>
      </xdr:nvSpPr>
      <xdr:spPr>
        <a:xfrm>
          <a:off x="11125200" y="5772149"/>
          <a:ext cx="200025" cy="123825"/>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pl-PL" sz="1100"/>
        </a:p>
      </xdr:txBody>
    </xdr:sp>
    <xdr:clientData/>
  </xdr:twoCellAnchor>
  <xdr:twoCellAnchor>
    <xdr:from>
      <xdr:col>6</xdr:col>
      <xdr:colOff>828675</xdr:colOff>
      <xdr:row>30</xdr:row>
      <xdr:rowOff>66674</xdr:rowOff>
    </xdr:from>
    <xdr:to>
      <xdr:col>6</xdr:col>
      <xdr:colOff>1028700</xdr:colOff>
      <xdr:row>30</xdr:row>
      <xdr:rowOff>190499</xdr:rowOff>
    </xdr:to>
    <xdr:sp macro="" textlink="">
      <xdr:nvSpPr>
        <xdr:cNvPr id="6" name="Strzałka w dół 5">
          <a:extLst>
            <a:ext uri="{FF2B5EF4-FFF2-40B4-BE49-F238E27FC236}">
              <a16:creationId xmlns:a16="http://schemas.microsoft.com/office/drawing/2014/main" id="{00000000-0008-0000-0600-000006000000}"/>
            </a:ext>
          </a:extLst>
        </xdr:cNvPr>
        <xdr:cNvSpPr/>
      </xdr:nvSpPr>
      <xdr:spPr>
        <a:xfrm>
          <a:off x="12973050" y="5781674"/>
          <a:ext cx="200025" cy="123825"/>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3</xdr:col>
      <xdr:colOff>1143002</xdr:colOff>
      <xdr:row>101</xdr:row>
      <xdr:rowOff>123826</xdr:rowOff>
    </xdr:from>
    <xdr:to>
      <xdr:col>6</xdr:col>
      <xdr:colOff>687631</xdr:colOff>
      <xdr:row>129</xdr:row>
      <xdr:rowOff>80088</xdr:rowOff>
    </xdr:to>
    <xdr:pic>
      <xdr:nvPicPr>
        <xdr:cNvPr id="2" name="Obraz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0977" y="18602326"/>
          <a:ext cx="5031029" cy="5290262"/>
        </a:xfrm>
        <a:prstGeom prst="rect">
          <a:avLst/>
        </a:prstGeom>
      </xdr:spPr>
    </xdr:pic>
    <xdr:clientData/>
  </xdr:twoCellAnchor>
  <xdr:twoCellAnchor>
    <xdr:from>
      <xdr:col>7</xdr:col>
      <xdr:colOff>19050</xdr:colOff>
      <xdr:row>10</xdr:row>
      <xdr:rowOff>47625</xdr:rowOff>
    </xdr:from>
    <xdr:to>
      <xdr:col>8</xdr:col>
      <xdr:colOff>61748</xdr:colOff>
      <xdr:row>20</xdr:row>
      <xdr:rowOff>113554</xdr:rowOff>
    </xdr:to>
    <xdr:grpSp>
      <xdr:nvGrpSpPr>
        <xdr:cNvPr id="7" name="Grupa 6">
          <a:extLst>
            <a:ext uri="{FF2B5EF4-FFF2-40B4-BE49-F238E27FC236}">
              <a16:creationId xmlns:a16="http://schemas.microsoft.com/office/drawing/2014/main" id="{00000000-0008-0000-0600-000007000000}"/>
            </a:ext>
          </a:extLst>
        </xdr:cNvPr>
        <xdr:cNvGrpSpPr/>
      </xdr:nvGrpSpPr>
      <xdr:grpSpPr>
        <a:xfrm>
          <a:off x="13992225" y="1952625"/>
          <a:ext cx="1871498" cy="1970929"/>
          <a:chOff x="15257866" y="8202103"/>
          <a:chExt cx="1871498" cy="1589929"/>
        </a:xfrm>
      </xdr:grpSpPr>
      <xdr:sp macro="" textlink="">
        <xdr:nvSpPr>
          <xdr:cNvPr id="8" name="Strzałka w dół 7">
            <a:extLst>
              <a:ext uri="{FF2B5EF4-FFF2-40B4-BE49-F238E27FC236}">
                <a16:creationId xmlns:a16="http://schemas.microsoft.com/office/drawing/2014/main" id="{00000000-0008-0000-0600-000008000000}"/>
              </a:ext>
            </a:extLst>
          </xdr:cNvPr>
          <xdr:cNvSpPr/>
        </xdr:nvSpPr>
        <xdr:spPr>
          <a:xfrm rot="420000">
            <a:off x="16202006" y="8306141"/>
            <a:ext cx="129436" cy="219075"/>
          </a:xfrm>
          <a:prstGeom prst="down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sp macro="" textlink="">
        <xdr:nvSpPr>
          <xdr:cNvPr id="9" name="Strzałka w dół 8">
            <a:extLst>
              <a:ext uri="{FF2B5EF4-FFF2-40B4-BE49-F238E27FC236}">
                <a16:creationId xmlns:a16="http://schemas.microsoft.com/office/drawing/2014/main" id="{00000000-0008-0000-0600-000009000000}"/>
              </a:ext>
            </a:extLst>
          </xdr:cNvPr>
          <xdr:cNvSpPr/>
        </xdr:nvSpPr>
        <xdr:spPr>
          <a:xfrm rot="5820000">
            <a:off x="16640175" y="8924925"/>
            <a:ext cx="123825" cy="219075"/>
          </a:xfrm>
          <a:prstGeom prst="downArrow">
            <a:avLst/>
          </a:prstGeom>
          <a:solidFill>
            <a:srgbClr val="92D05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pl-PL"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0" name="Strzałka w dół 9">
            <a:extLst>
              <a:ext uri="{FF2B5EF4-FFF2-40B4-BE49-F238E27FC236}">
                <a16:creationId xmlns:a16="http://schemas.microsoft.com/office/drawing/2014/main" id="{00000000-0008-0000-0600-00000A000000}"/>
              </a:ext>
            </a:extLst>
          </xdr:cNvPr>
          <xdr:cNvSpPr/>
        </xdr:nvSpPr>
        <xdr:spPr>
          <a:xfrm rot="16620000">
            <a:off x="15640051" y="8810625"/>
            <a:ext cx="123825" cy="219075"/>
          </a:xfrm>
          <a:prstGeom prst="downArrow">
            <a:avLst/>
          </a:prstGeom>
          <a:solidFill>
            <a:srgbClr val="92D05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pl-PL"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11" name="pole tekstowe 10">
            <a:extLst>
              <a:ext uri="{FF2B5EF4-FFF2-40B4-BE49-F238E27FC236}">
                <a16:creationId xmlns:a16="http://schemas.microsoft.com/office/drawing/2014/main" id="{00000000-0008-0000-0600-00000B000000}"/>
              </a:ext>
            </a:extLst>
          </xdr:cNvPr>
          <xdr:cNvSpPr txBox="1"/>
        </xdr:nvSpPr>
        <xdr:spPr>
          <a:xfrm rot="420000">
            <a:off x="15878112" y="8202103"/>
            <a:ext cx="40822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400">
                <a:latin typeface="Calibri" panose="020F0502020204030204" pitchFamily="34" charset="0"/>
                <a:cs typeface="Calibri" panose="020F0502020204030204" pitchFamily="34" charset="0"/>
              </a:rPr>
              <a:t>α</a:t>
            </a:r>
            <a:r>
              <a:rPr lang="pl-PL" sz="1400"/>
              <a:t>° </a:t>
            </a:r>
          </a:p>
        </xdr:txBody>
      </xdr:sp>
      <xdr:sp macro="" textlink="">
        <xdr:nvSpPr>
          <xdr:cNvPr id="13" name="pole tekstowe 12">
            <a:extLst>
              <a:ext uri="{FF2B5EF4-FFF2-40B4-BE49-F238E27FC236}">
                <a16:creationId xmlns:a16="http://schemas.microsoft.com/office/drawing/2014/main" id="{00000000-0008-0000-0600-00000D000000}"/>
              </a:ext>
            </a:extLst>
          </xdr:cNvPr>
          <xdr:cNvSpPr txBox="1"/>
        </xdr:nvSpPr>
        <xdr:spPr>
          <a:xfrm rot="420000">
            <a:off x="16496398" y="8653946"/>
            <a:ext cx="632966" cy="2952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l-GR" sz="14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α</a:t>
            </a:r>
            <a:r>
              <a:rPr kumimoji="0" lang="pl-PL" sz="14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+90</a:t>
            </a:r>
            <a:r>
              <a:rPr kumimoji="0" lang="pl-PL" sz="14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xdr:txBody>
      </xdr:sp>
      <xdr:sp macro="" textlink="">
        <xdr:nvSpPr>
          <xdr:cNvPr id="14" name="pole tekstowe 13">
            <a:extLst>
              <a:ext uri="{FF2B5EF4-FFF2-40B4-BE49-F238E27FC236}">
                <a16:creationId xmlns:a16="http://schemas.microsoft.com/office/drawing/2014/main" id="{00000000-0008-0000-0600-00000E000000}"/>
              </a:ext>
            </a:extLst>
          </xdr:cNvPr>
          <xdr:cNvSpPr txBox="1"/>
        </xdr:nvSpPr>
        <xdr:spPr>
          <a:xfrm rot="420000">
            <a:off x="15257866" y="9030030"/>
            <a:ext cx="708596" cy="2952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l-GR" sz="14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α</a:t>
            </a:r>
            <a:r>
              <a:rPr kumimoji="0" lang="pl-PL" sz="14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+270</a:t>
            </a:r>
            <a:r>
              <a:rPr kumimoji="0" lang="pl-PL" sz="14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xdr:txBody>
      </xdr:sp>
      <xdr:sp macro="" textlink="">
        <xdr:nvSpPr>
          <xdr:cNvPr id="15" name="Prostokąt 14">
            <a:extLst>
              <a:ext uri="{FF2B5EF4-FFF2-40B4-BE49-F238E27FC236}">
                <a16:creationId xmlns:a16="http://schemas.microsoft.com/office/drawing/2014/main" id="{00000000-0008-0000-0600-00000F000000}"/>
              </a:ext>
            </a:extLst>
          </xdr:cNvPr>
          <xdr:cNvSpPr/>
        </xdr:nvSpPr>
        <xdr:spPr>
          <a:xfrm rot="420000">
            <a:off x="15956393" y="8650481"/>
            <a:ext cx="495300" cy="6751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sp macro="" textlink="">
        <xdr:nvSpPr>
          <xdr:cNvPr id="16" name="Strzałka w dół 15">
            <a:extLst>
              <a:ext uri="{FF2B5EF4-FFF2-40B4-BE49-F238E27FC236}">
                <a16:creationId xmlns:a16="http://schemas.microsoft.com/office/drawing/2014/main" id="{00000000-0008-0000-0600-000010000000}"/>
              </a:ext>
            </a:extLst>
          </xdr:cNvPr>
          <xdr:cNvSpPr/>
        </xdr:nvSpPr>
        <xdr:spPr>
          <a:xfrm rot="11220000">
            <a:off x="16068675" y="9467850"/>
            <a:ext cx="123825" cy="219075"/>
          </a:xfrm>
          <a:prstGeom prst="down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sp macro="" textlink="">
        <xdr:nvSpPr>
          <xdr:cNvPr id="17" name="pole tekstowe 16">
            <a:extLst>
              <a:ext uri="{FF2B5EF4-FFF2-40B4-BE49-F238E27FC236}">
                <a16:creationId xmlns:a16="http://schemas.microsoft.com/office/drawing/2014/main" id="{00000000-0008-0000-0600-000011000000}"/>
              </a:ext>
            </a:extLst>
          </xdr:cNvPr>
          <xdr:cNvSpPr txBox="1"/>
        </xdr:nvSpPr>
        <xdr:spPr>
          <a:xfrm rot="420000">
            <a:off x="16238940" y="9496757"/>
            <a:ext cx="708596" cy="2952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l-GR" sz="14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α</a:t>
            </a:r>
            <a:r>
              <a:rPr kumimoji="0" lang="pl-PL" sz="14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+180</a:t>
            </a:r>
            <a:r>
              <a:rPr kumimoji="0" lang="pl-PL" sz="14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xdr:txBody>
      </xdr:sp>
    </xdr:grpSp>
    <xdr:clientData/>
  </xdr:twoCellAnchor>
  <xdr:twoCellAnchor>
    <xdr:from>
      <xdr:col>7</xdr:col>
      <xdr:colOff>247650</xdr:colOff>
      <xdr:row>25</xdr:row>
      <xdr:rowOff>152400</xdr:rowOff>
    </xdr:from>
    <xdr:to>
      <xdr:col>7</xdr:col>
      <xdr:colOff>1231977</xdr:colOff>
      <xdr:row>33</xdr:row>
      <xdr:rowOff>61609</xdr:rowOff>
    </xdr:to>
    <xdr:grpSp>
      <xdr:nvGrpSpPr>
        <xdr:cNvPr id="18" name="Grupa 17">
          <a:extLst>
            <a:ext uri="{FF2B5EF4-FFF2-40B4-BE49-F238E27FC236}">
              <a16:creationId xmlns:a16="http://schemas.microsoft.com/office/drawing/2014/main" id="{00000000-0008-0000-0600-000012000000}"/>
            </a:ext>
          </a:extLst>
        </xdr:cNvPr>
        <xdr:cNvGrpSpPr/>
      </xdr:nvGrpSpPr>
      <xdr:grpSpPr>
        <a:xfrm>
          <a:off x="14220825" y="4914900"/>
          <a:ext cx="984327" cy="1433209"/>
          <a:chOff x="15429266" y="11678770"/>
          <a:chExt cx="984327" cy="1433209"/>
        </a:xfrm>
      </xdr:grpSpPr>
      <xdr:sp macro="" textlink="">
        <xdr:nvSpPr>
          <xdr:cNvPr id="19" name="Prostokąt 18">
            <a:extLst>
              <a:ext uri="{FF2B5EF4-FFF2-40B4-BE49-F238E27FC236}">
                <a16:creationId xmlns:a16="http://schemas.microsoft.com/office/drawing/2014/main" id="{00000000-0008-0000-0600-000013000000}"/>
              </a:ext>
            </a:extLst>
          </xdr:cNvPr>
          <xdr:cNvSpPr/>
        </xdr:nvSpPr>
        <xdr:spPr>
          <a:xfrm rot="420000">
            <a:off x="15918293" y="12108057"/>
            <a:ext cx="495300" cy="6751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sp macro="" textlink="">
        <xdr:nvSpPr>
          <xdr:cNvPr id="20" name="Strzałka w dół 19">
            <a:extLst>
              <a:ext uri="{FF2B5EF4-FFF2-40B4-BE49-F238E27FC236}">
                <a16:creationId xmlns:a16="http://schemas.microsoft.com/office/drawing/2014/main" id="{00000000-0008-0000-0600-000014000000}"/>
              </a:ext>
            </a:extLst>
          </xdr:cNvPr>
          <xdr:cNvSpPr/>
        </xdr:nvSpPr>
        <xdr:spPr>
          <a:xfrm rot="420000">
            <a:off x="16154400" y="11791949"/>
            <a:ext cx="123825" cy="219075"/>
          </a:xfrm>
          <a:prstGeom prst="down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sp macro="" textlink="">
        <xdr:nvSpPr>
          <xdr:cNvPr id="21" name="pole tekstowe 20">
            <a:extLst>
              <a:ext uri="{FF2B5EF4-FFF2-40B4-BE49-F238E27FC236}">
                <a16:creationId xmlns:a16="http://schemas.microsoft.com/office/drawing/2014/main" id="{00000000-0008-0000-0600-000015000000}"/>
              </a:ext>
            </a:extLst>
          </xdr:cNvPr>
          <xdr:cNvSpPr txBox="1"/>
        </xdr:nvSpPr>
        <xdr:spPr>
          <a:xfrm rot="420000">
            <a:off x="15429266" y="11678770"/>
            <a:ext cx="721533"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400"/>
              <a:t>Wiatr </a:t>
            </a:r>
            <a:r>
              <a:rPr lang="pl-PL" sz="1400" baseline="0"/>
              <a:t>1</a:t>
            </a:r>
            <a:endParaRPr lang="pl-PL" sz="1400"/>
          </a:p>
        </xdr:txBody>
      </xdr:sp>
      <xdr:sp macro="" textlink="">
        <xdr:nvSpPr>
          <xdr:cNvPr id="22" name="pole tekstowe 21">
            <a:extLst>
              <a:ext uri="{FF2B5EF4-FFF2-40B4-BE49-F238E27FC236}">
                <a16:creationId xmlns:a16="http://schemas.microsoft.com/office/drawing/2014/main" id="{00000000-0008-0000-0600-000016000000}"/>
              </a:ext>
            </a:extLst>
          </xdr:cNvPr>
          <xdr:cNvSpPr txBox="1"/>
        </xdr:nvSpPr>
        <xdr:spPr>
          <a:xfrm rot="420000">
            <a:off x="15583139" y="12216629"/>
            <a:ext cx="325795" cy="2952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pl-PL" sz="1400" b="0" i="0" u="none" strike="noStrike" kern="0" cap="none" spc="0" normalizeH="0" baseline="0" noProof="0">
                <a:ln>
                  <a:noFill/>
                </a:ln>
                <a:solidFill>
                  <a:sysClr val="windowText" lastClr="000000"/>
                </a:solidFill>
                <a:effectLst/>
                <a:uLnTx/>
                <a:uFillTx/>
                <a:latin typeface="Calibri" panose="020F0502020204030204"/>
                <a:ea typeface="+mn-ea"/>
                <a:cs typeface="+mn-cs"/>
              </a:rPr>
              <a:t>d</a:t>
            </a:r>
          </a:p>
        </xdr:txBody>
      </xdr:sp>
      <xdr:sp macro="" textlink="">
        <xdr:nvSpPr>
          <xdr:cNvPr id="23" name="pole tekstowe 22">
            <a:extLst>
              <a:ext uri="{FF2B5EF4-FFF2-40B4-BE49-F238E27FC236}">
                <a16:creationId xmlns:a16="http://schemas.microsoft.com/office/drawing/2014/main" id="{00000000-0008-0000-0600-000017000000}"/>
              </a:ext>
            </a:extLst>
          </xdr:cNvPr>
          <xdr:cNvSpPr txBox="1"/>
        </xdr:nvSpPr>
        <xdr:spPr>
          <a:xfrm rot="420000">
            <a:off x="15964139" y="12816704"/>
            <a:ext cx="325795" cy="2952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pl-PL" sz="1400" b="0" i="0" u="none" strike="noStrike" kern="0" cap="none" spc="0" normalizeH="0" baseline="0" noProof="0">
                <a:ln>
                  <a:noFill/>
                </a:ln>
                <a:solidFill>
                  <a:sysClr val="windowText" lastClr="000000"/>
                </a:solidFill>
                <a:effectLst/>
                <a:uLnTx/>
                <a:uFillTx/>
                <a:latin typeface="Calibri" panose="020F0502020204030204"/>
                <a:ea typeface="+mn-ea"/>
                <a:cs typeface="+mn-cs"/>
              </a:rPr>
              <a:t>b</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304800</xdr:colOff>
      <xdr:row>18</xdr:row>
      <xdr:rowOff>142875</xdr:rowOff>
    </xdr:from>
    <xdr:to>
      <xdr:col>11</xdr:col>
      <xdr:colOff>304800</xdr:colOff>
      <xdr:row>39</xdr:row>
      <xdr:rowOff>76200</xdr:rowOff>
    </xdr:to>
    <xdr:cxnSp macro="">
      <xdr:nvCxnSpPr>
        <xdr:cNvPr id="2" name="Łącznik prosty 1">
          <a:extLst>
            <a:ext uri="{FF2B5EF4-FFF2-40B4-BE49-F238E27FC236}">
              <a16:creationId xmlns:a16="http://schemas.microsoft.com/office/drawing/2014/main" id="{00000000-0008-0000-0800-000002000000}"/>
            </a:ext>
          </a:extLst>
        </xdr:cNvPr>
        <xdr:cNvCxnSpPr/>
      </xdr:nvCxnSpPr>
      <xdr:spPr>
        <a:xfrm>
          <a:off x="7010400" y="12144375"/>
          <a:ext cx="0" cy="3971925"/>
        </a:xfrm>
        <a:prstGeom prst="line">
          <a:avLst/>
        </a:prstGeom>
        <a:ln w="28575">
          <a:solidFill>
            <a:srgbClr val="0070C0"/>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304800</xdr:colOff>
      <xdr:row>22</xdr:row>
      <xdr:rowOff>142875</xdr:rowOff>
    </xdr:from>
    <xdr:to>
      <xdr:col>11</xdr:col>
      <xdr:colOff>304800</xdr:colOff>
      <xdr:row>43</xdr:row>
      <xdr:rowOff>76200</xdr:rowOff>
    </xdr:to>
    <xdr:cxnSp macro="">
      <xdr:nvCxnSpPr>
        <xdr:cNvPr id="2" name="Łącznik prosty 1">
          <a:extLst>
            <a:ext uri="{FF2B5EF4-FFF2-40B4-BE49-F238E27FC236}">
              <a16:creationId xmlns:a16="http://schemas.microsoft.com/office/drawing/2014/main" id="{00000000-0008-0000-0A00-000002000000}"/>
            </a:ext>
          </a:extLst>
        </xdr:cNvPr>
        <xdr:cNvCxnSpPr/>
      </xdr:nvCxnSpPr>
      <xdr:spPr>
        <a:xfrm>
          <a:off x="7010400" y="3571875"/>
          <a:ext cx="0" cy="3962400"/>
        </a:xfrm>
        <a:prstGeom prst="line">
          <a:avLst/>
        </a:prstGeom>
        <a:ln w="28575">
          <a:solidFill>
            <a:srgbClr val="0070C0"/>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304800</xdr:colOff>
      <xdr:row>22</xdr:row>
      <xdr:rowOff>142875</xdr:rowOff>
    </xdr:from>
    <xdr:to>
      <xdr:col>11</xdr:col>
      <xdr:colOff>304800</xdr:colOff>
      <xdr:row>43</xdr:row>
      <xdr:rowOff>76200</xdr:rowOff>
    </xdr:to>
    <xdr:cxnSp macro="">
      <xdr:nvCxnSpPr>
        <xdr:cNvPr id="2" name="Łącznik prosty 1">
          <a:extLst>
            <a:ext uri="{FF2B5EF4-FFF2-40B4-BE49-F238E27FC236}">
              <a16:creationId xmlns:a16="http://schemas.microsoft.com/office/drawing/2014/main" id="{00000000-0008-0000-0C00-000002000000}"/>
            </a:ext>
          </a:extLst>
        </xdr:cNvPr>
        <xdr:cNvCxnSpPr/>
      </xdr:nvCxnSpPr>
      <xdr:spPr>
        <a:xfrm>
          <a:off x="7010400" y="4333875"/>
          <a:ext cx="0" cy="3962400"/>
        </a:xfrm>
        <a:prstGeom prst="line">
          <a:avLst/>
        </a:prstGeom>
        <a:ln w="28575">
          <a:solidFill>
            <a:srgbClr val="0070C0"/>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www.wysokosc.mapa.info.pl/"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wysokosc.mapa.info.pl/"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
  <sheetViews>
    <sheetView tabSelected="1" workbookViewId="0">
      <selection activeCell="B1" sqref="B1:P14"/>
    </sheetView>
  </sheetViews>
  <sheetFormatPr defaultRowHeight="15" x14ac:dyDescent="0.25"/>
  <sheetData>
    <row r="1" spans="1:16" x14ac:dyDescent="0.25">
      <c r="A1" s="1"/>
      <c r="B1" s="216"/>
      <c r="C1" s="216"/>
      <c r="D1" s="216"/>
      <c r="E1" s="216"/>
      <c r="F1" s="216"/>
      <c r="G1" s="216"/>
      <c r="H1" s="216"/>
      <c r="I1" s="216"/>
      <c r="J1" s="216"/>
      <c r="K1" s="216"/>
      <c r="L1" s="216"/>
      <c r="M1" s="216"/>
      <c r="N1" s="216"/>
      <c r="O1" s="216"/>
      <c r="P1" s="216"/>
    </row>
    <row r="2" spans="1:16" ht="15" customHeight="1" x14ac:dyDescent="0.25">
      <c r="A2" s="1"/>
      <c r="B2" s="216"/>
      <c r="C2" s="216"/>
      <c r="D2" s="216"/>
      <c r="E2" s="216"/>
      <c r="F2" s="216"/>
      <c r="G2" s="216"/>
      <c r="H2" s="216"/>
      <c r="I2" s="216"/>
      <c r="J2" s="216"/>
      <c r="K2" s="216"/>
      <c r="L2" s="216"/>
      <c r="M2" s="216"/>
      <c r="N2" s="216"/>
      <c r="O2" s="216"/>
      <c r="P2" s="216"/>
    </row>
    <row r="3" spans="1:16" ht="15" customHeight="1" x14ac:dyDescent="0.25">
      <c r="A3" s="1"/>
      <c r="B3" s="216"/>
      <c r="C3" s="216"/>
      <c r="D3" s="216"/>
      <c r="E3" s="216"/>
      <c r="F3" s="216"/>
      <c r="G3" s="216"/>
      <c r="H3" s="216"/>
      <c r="I3" s="216"/>
      <c r="J3" s="216"/>
      <c r="K3" s="216"/>
      <c r="L3" s="216"/>
      <c r="M3" s="216"/>
      <c r="N3" s="216"/>
      <c r="O3" s="216"/>
      <c r="P3" s="216"/>
    </row>
    <row r="4" spans="1:16" x14ac:dyDescent="0.25">
      <c r="A4" s="1"/>
      <c r="B4" s="216"/>
      <c r="C4" s="216"/>
      <c r="D4" s="216"/>
      <c r="E4" s="216"/>
      <c r="F4" s="216"/>
      <c r="G4" s="216"/>
      <c r="H4" s="216"/>
      <c r="I4" s="216"/>
      <c r="J4" s="216"/>
      <c r="K4" s="216"/>
      <c r="L4" s="216"/>
      <c r="M4" s="216"/>
      <c r="N4" s="216"/>
      <c r="O4" s="216"/>
      <c r="P4" s="216"/>
    </row>
    <row r="5" spans="1:16" x14ac:dyDescent="0.25">
      <c r="A5" s="1"/>
      <c r="B5" s="216"/>
      <c r="C5" s="216"/>
      <c r="D5" s="216"/>
      <c r="E5" s="216"/>
      <c r="F5" s="216"/>
      <c r="G5" s="216"/>
      <c r="H5" s="216"/>
      <c r="I5" s="216"/>
      <c r="J5" s="216"/>
      <c r="K5" s="216"/>
      <c r="L5" s="216"/>
      <c r="M5" s="216"/>
      <c r="N5" s="216"/>
      <c r="O5" s="216"/>
      <c r="P5" s="216"/>
    </row>
    <row r="6" spans="1:16" x14ac:dyDescent="0.25">
      <c r="A6" s="1"/>
      <c r="B6" s="216"/>
      <c r="C6" s="216"/>
      <c r="D6" s="216"/>
      <c r="E6" s="216"/>
      <c r="F6" s="216"/>
      <c r="G6" s="216"/>
      <c r="H6" s="216"/>
      <c r="I6" s="216"/>
      <c r="J6" s="216"/>
      <c r="K6" s="216"/>
      <c r="L6" s="216"/>
      <c r="M6" s="216"/>
      <c r="N6" s="216"/>
      <c r="O6" s="216"/>
      <c r="P6" s="216"/>
    </row>
    <row r="7" spans="1:16" x14ac:dyDescent="0.25">
      <c r="A7" s="1"/>
      <c r="B7" s="216"/>
      <c r="C7" s="216"/>
      <c r="D7" s="216"/>
      <c r="E7" s="216"/>
      <c r="F7" s="216"/>
      <c r="G7" s="216"/>
      <c r="H7" s="216"/>
      <c r="I7" s="216"/>
      <c r="J7" s="216"/>
      <c r="K7" s="216"/>
      <c r="L7" s="216"/>
      <c r="M7" s="216"/>
      <c r="N7" s="216"/>
      <c r="O7" s="216"/>
      <c r="P7" s="216"/>
    </row>
    <row r="8" spans="1:16" x14ac:dyDescent="0.25">
      <c r="A8" s="1"/>
      <c r="B8" s="216"/>
      <c r="C8" s="216"/>
      <c r="D8" s="216"/>
      <c r="E8" s="216"/>
      <c r="F8" s="216"/>
      <c r="G8" s="216"/>
      <c r="H8" s="216"/>
      <c r="I8" s="216"/>
      <c r="J8" s="216"/>
      <c r="K8" s="216"/>
      <c r="L8" s="216"/>
      <c r="M8" s="216"/>
      <c r="N8" s="216"/>
      <c r="O8" s="216"/>
      <c r="P8" s="216"/>
    </row>
    <row r="9" spans="1:16" x14ac:dyDescent="0.25">
      <c r="A9" s="1"/>
      <c r="B9" s="216"/>
      <c r="C9" s="216"/>
      <c r="D9" s="216"/>
      <c r="E9" s="216"/>
      <c r="F9" s="216"/>
      <c r="G9" s="216"/>
      <c r="H9" s="216"/>
      <c r="I9" s="216"/>
      <c r="J9" s="216"/>
      <c r="K9" s="216"/>
      <c r="L9" s="216"/>
      <c r="M9" s="216"/>
      <c r="N9" s="216"/>
      <c r="O9" s="216"/>
      <c r="P9" s="216"/>
    </row>
    <row r="10" spans="1:16" x14ac:dyDescent="0.25">
      <c r="A10" s="1"/>
      <c r="B10" s="216"/>
      <c r="C10" s="216"/>
      <c r="D10" s="216"/>
      <c r="E10" s="216"/>
      <c r="F10" s="216"/>
      <c r="G10" s="216"/>
      <c r="H10" s="216"/>
      <c r="I10" s="216"/>
      <c r="J10" s="216"/>
      <c r="K10" s="216"/>
      <c r="L10" s="216"/>
      <c r="M10" s="216"/>
      <c r="N10" s="216"/>
      <c r="O10" s="216"/>
      <c r="P10" s="216"/>
    </row>
    <row r="11" spans="1:16" x14ac:dyDescent="0.25">
      <c r="A11" s="1"/>
      <c r="B11" s="216"/>
      <c r="C11" s="216"/>
      <c r="D11" s="216"/>
      <c r="E11" s="216"/>
      <c r="F11" s="216"/>
      <c r="G11" s="216"/>
      <c r="H11" s="216"/>
      <c r="I11" s="216"/>
      <c r="J11" s="216"/>
      <c r="K11" s="216"/>
      <c r="L11" s="216"/>
      <c r="M11" s="216"/>
      <c r="N11" s="216"/>
      <c r="O11" s="216"/>
      <c r="P11" s="216"/>
    </row>
    <row r="12" spans="1:16" x14ac:dyDescent="0.25">
      <c r="A12" s="1"/>
      <c r="B12" s="216"/>
      <c r="C12" s="216"/>
      <c r="D12" s="216"/>
      <c r="E12" s="216"/>
      <c r="F12" s="216"/>
      <c r="G12" s="216"/>
      <c r="H12" s="216"/>
      <c r="I12" s="216"/>
      <c r="J12" s="216"/>
      <c r="K12" s="216"/>
      <c r="L12" s="216"/>
      <c r="M12" s="216"/>
      <c r="N12" s="216"/>
      <c r="O12" s="216"/>
      <c r="P12" s="216"/>
    </row>
    <row r="13" spans="1:16" x14ac:dyDescent="0.25">
      <c r="A13" s="1"/>
      <c r="B13" s="216"/>
      <c r="C13" s="216"/>
      <c r="D13" s="216"/>
      <c r="E13" s="216"/>
      <c r="F13" s="216"/>
      <c r="G13" s="216"/>
      <c r="H13" s="216"/>
      <c r="I13" s="216"/>
      <c r="J13" s="216"/>
      <c r="K13" s="216"/>
      <c r="L13" s="216"/>
      <c r="M13" s="216"/>
      <c r="N13" s="216"/>
      <c r="O13" s="216"/>
      <c r="P13" s="216"/>
    </row>
    <row r="14" spans="1:16" x14ac:dyDescent="0.25">
      <c r="A14" s="1"/>
      <c r="B14" s="216"/>
      <c r="C14" s="216"/>
      <c r="D14" s="216"/>
      <c r="E14" s="216"/>
      <c r="F14" s="216"/>
      <c r="G14" s="216"/>
      <c r="H14" s="216"/>
      <c r="I14" s="216"/>
      <c r="J14" s="216"/>
      <c r="K14" s="216"/>
      <c r="L14" s="216"/>
      <c r="M14" s="216"/>
      <c r="N14" s="216"/>
      <c r="O14" s="216"/>
      <c r="P14" s="216"/>
    </row>
    <row r="15" spans="1:16" ht="15.75" customHeight="1" x14ac:dyDescent="0.25">
      <c r="B15" s="217" t="s">
        <v>334</v>
      </c>
      <c r="C15" s="217"/>
      <c r="D15" s="217"/>
      <c r="E15" s="217"/>
      <c r="F15" s="217"/>
      <c r="G15" s="217"/>
      <c r="H15" s="217"/>
      <c r="I15" s="217"/>
      <c r="J15" s="217"/>
      <c r="K15" s="217"/>
      <c r="L15" s="217"/>
      <c r="M15" s="217"/>
      <c r="N15" s="217"/>
      <c r="O15" s="217"/>
      <c r="P15" s="217"/>
    </row>
    <row r="16" spans="1:16" ht="15.75" customHeight="1" x14ac:dyDescent="0.25">
      <c r="B16" s="217"/>
      <c r="C16" s="217"/>
      <c r="D16" s="217"/>
      <c r="E16" s="217"/>
      <c r="F16" s="217"/>
      <c r="G16" s="217"/>
      <c r="H16" s="217"/>
      <c r="I16" s="217"/>
      <c r="J16" s="217"/>
      <c r="K16" s="217"/>
      <c r="L16" s="217"/>
      <c r="M16" s="217"/>
      <c r="N16" s="217"/>
      <c r="O16" s="217"/>
      <c r="P16" s="217"/>
    </row>
    <row r="17" spans="2:16" ht="15.75" customHeight="1" x14ac:dyDescent="0.25">
      <c r="B17" s="217"/>
      <c r="C17" s="217"/>
      <c r="D17" s="217"/>
      <c r="E17" s="217"/>
      <c r="F17" s="217"/>
      <c r="G17" s="217"/>
      <c r="H17" s="217"/>
      <c r="I17" s="217"/>
      <c r="J17" s="217"/>
      <c r="K17" s="217"/>
      <c r="L17" s="217"/>
      <c r="M17" s="217"/>
      <c r="N17" s="217"/>
      <c r="O17" s="217"/>
      <c r="P17" s="217"/>
    </row>
    <row r="18" spans="2:16" ht="15.75" customHeight="1" x14ac:dyDescent="0.25">
      <c r="B18" s="217"/>
      <c r="C18" s="217"/>
      <c r="D18" s="217"/>
      <c r="E18" s="217"/>
      <c r="F18" s="217"/>
      <c r="G18" s="217"/>
      <c r="H18" s="217"/>
      <c r="I18" s="217"/>
      <c r="J18" s="217"/>
      <c r="K18" s="217"/>
      <c r="L18" s="217"/>
      <c r="M18" s="217"/>
      <c r="N18" s="217"/>
      <c r="O18" s="217"/>
      <c r="P18" s="217"/>
    </row>
    <row r="19" spans="2:16" x14ac:dyDescent="0.25">
      <c r="B19" s="215" t="s">
        <v>317</v>
      </c>
      <c r="C19" s="215"/>
      <c r="D19" s="215"/>
      <c r="E19" s="215"/>
      <c r="F19" s="215"/>
      <c r="G19" s="215"/>
      <c r="H19" s="215"/>
      <c r="I19" s="215"/>
      <c r="J19" s="215"/>
      <c r="K19" s="215"/>
      <c r="L19" s="215"/>
      <c r="M19" s="215"/>
      <c r="N19" s="215"/>
      <c r="O19" s="215"/>
      <c r="P19" s="215"/>
    </row>
    <row r="20" spans="2:16" x14ac:dyDescent="0.25">
      <c r="B20" s="215"/>
      <c r="C20" s="215"/>
      <c r="D20" s="215"/>
      <c r="E20" s="215"/>
      <c r="F20" s="215"/>
      <c r="G20" s="215"/>
      <c r="H20" s="215"/>
      <c r="I20" s="215"/>
      <c r="J20" s="215"/>
      <c r="K20" s="215"/>
      <c r="L20" s="215"/>
      <c r="M20" s="215"/>
      <c r="N20" s="215"/>
      <c r="O20" s="215"/>
      <c r="P20" s="215"/>
    </row>
    <row r="21" spans="2:16" x14ac:dyDescent="0.25">
      <c r="B21" s="215"/>
      <c r="C21" s="215"/>
      <c r="D21" s="215"/>
      <c r="E21" s="215"/>
      <c r="F21" s="215"/>
      <c r="G21" s="215"/>
      <c r="H21" s="215"/>
      <c r="I21" s="215"/>
      <c r="J21" s="215"/>
      <c r="K21" s="215"/>
      <c r="L21" s="215"/>
      <c r="M21" s="215"/>
      <c r="N21" s="215"/>
      <c r="O21" s="215"/>
      <c r="P21" s="215"/>
    </row>
    <row r="22" spans="2:16" x14ac:dyDescent="0.25">
      <c r="B22" s="215"/>
      <c r="C22" s="215"/>
      <c r="D22" s="215"/>
      <c r="E22" s="215"/>
      <c r="F22" s="215"/>
      <c r="G22" s="215"/>
      <c r="H22" s="215"/>
      <c r="I22" s="215"/>
      <c r="J22" s="215"/>
      <c r="K22" s="215"/>
      <c r="L22" s="215"/>
      <c r="M22" s="215"/>
      <c r="N22" s="215"/>
      <c r="O22" s="215"/>
      <c r="P22" s="215"/>
    </row>
    <row r="23" spans="2:16" x14ac:dyDescent="0.25">
      <c r="B23" s="215"/>
      <c r="C23" s="215"/>
      <c r="D23" s="215"/>
      <c r="E23" s="215"/>
      <c r="F23" s="215"/>
      <c r="G23" s="215"/>
      <c r="H23" s="215"/>
      <c r="I23" s="215"/>
      <c r="J23" s="215"/>
      <c r="K23" s="215"/>
      <c r="L23" s="215"/>
      <c r="M23" s="215"/>
      <c r="N23" s="215"/>
      <c r="O23" s="215"/>
      <c r="P23" s="215"/>
    </row>
    <row r="24" spans="2:16" x14ac:dyDescent="0.25">
      <c r="B24" s="215"/>
      <c r="C24" s="215"/>
      <c r="D24" s="215"/>
      <c r="E24" s="215"/>
      <c r="F24" s="215"/>
      <c r="G24" s="215"/>
      <c r="H24" s="215"/>
      <c r="I24" s="215"/>
      <c r="J24" s="215"/>
      <c r="K24" s="215"/>
      <c r="L24" s="215"/>
      <c r="M24" s="215"/>
      <c r="N24" s="215"/>
      <c r="O24" s="215"/>
      <c r="P24" s="215"/>
    </row>
    <row r="25" spans="2:16" ht="15" customHeight="1" x14ac:dyDescent="0.25">
      <c r="B25" s="215" t="s">
        <v>321</v>
      </c>
      <c r="C25" s="215"/>
      <c r="D25" s="215"/>
      <c r="E25" s="215"/>
      <c r="F25" s="215"/>
      <c r="G25" s="215"/>
      <c r="H25" s="215"/>
      <c r="I25" s="215"/>
      <c r="J25" s="215"/>
      <c r="K25" s="215"/>
      <c r="L25" s="215"/>
      <c r="M25" s="215"/>
      <c r="N25" s="215"/>
      <c r="O25" s="215"/>
      <c r="P25" s="215"/>
    </row>
    <row r="26" spans="2:16" x14ac:dyDescent="0.25">
      <c r="B26" s="215"/>
      <c r="C26" s="215"/>
      <c r="D26" s="215"/>
      <c r="E26" s="215"/>
      <c r="F26" s="215"/>
      <c r="G26" s="215"/>
      <c r="H26" s="215"/>
      <c r="I26" s="215"/>
      <c r="J26" s="215"/>
      <c r="K26" s="215"/>
      <c r="L26" s="215"/>
      <c r="M26" s="215"/>
      <c r="N26" s="215"/>
      <c r="O26" s="215"/>
      <c r="P26" s="215"/>
    </row>
    <row r="27" spans="2:16" x14ac:dyDescent="0.25">
      <c r="B27" s="215"/>
      <c r="C27" s="215"/>
      <c r="D27" s="215"/>
      <c r="E27" s="215"/>
      <c r="F27" s="215"/>
      <c r="G27" s="215"/>
      <c r="H27" s="215"/>
      <c r="I27" s="215"/>
      <c r="J27" s="215"/>
      <c r="K27" s="215"/>
      <c r="L27" s="215"/>
      <c r="M27" s="215"/>
      <c r="N27" s="215"/>
      <c r="O27" s="215"/>
      <c r="P27" s="215"/>
    </row>
    <row r="28" spans="2:16" x14ac:dyDescent="0.25">
      <c r="B28" s="215"/>
      <c r="C28" s="215"/>
      <c r="D28" s="215"/>
      <c r="E28" s="215"/>
      <c r="F28" s="215"/>
      <c r="G28" s="215"/>
      <c r="H28" s="215"/>
      <c r="I28" s="215"/>
      <c r="J28" s="215"/>
      <c r="K28" s="215"/>
      <c r="L28" s="215"/>
      <c r="M28" s="215"/>
      <c r="N28" s="215"/>
      <c r="O28" s="215"/>
      <c r="P28" s="215"/>
    </row>
    <row r="29" spans="2:16" x14ac:dyDescent="0.25">
      <c r="B29" s="215"/>
      <c r="C29" s="215"/>
      <c r="D29" s="215"/>
      <c r="E29" s="215"/>
      <c r="F29" s="215"/>
      <c r="G29" s="215"/>
      <c r="H29" s="215"/>
      <c r="I29" s="215"/>
      <c r="J29" s="215"/>
      <c r="K29" s="215"/>
      <c r="L29" s="215"/>
      <c r="M29" s="215"/>
      <c r="N29" s="215"/>
      <c r="O29" s="215"/>
      <c r="P29" s="215"/>
    </row>
    <row r="30" spans="2:16" x14ac:dyDescent="0.25">
      <c r="B30" s="215"/>
      <c r="C30" s="215"/>
      <c r="D30" s="215"/>
      <c r="E30" s="215"/>
      <c r="F30" s="215"/>
      <c r="G30" s="215"/>
      <c r="H30" s="215"/>
      <c r="I30" s="215"/>
      <c r="J30" s="215"/>
      <c r="K30" s="215"/>
      <c r="L30" s="215"/>
      <c r="M30" s="215"/>
      <c r="N30" s="215"/>
      <c r="O30" s="215"/>
      <c r="P30" s="215"/>
    </row>
    <row r="31" spans="2:16" x14ac:dyDescent="0.25">
      <c r="B31" s="215"/>
      <c r="C31" s="215"/>
      <c r="D31" s="215"/>
      <c r="E31" s="215"/>
      <c r="F31" s="215"/>
      <c r="G31" s="215"/>
      <c r="H31" s="215"/>
      <c r="I31" s="215"/>
      <c r="J31" s="215"/>
      <c r="K31" s="215"/>
      <c r="L31" s="215"/>
      <c r="M31" s="215"/>
      <c r="N31" s="215"/>
      <c r="O31" s="215"/>
      <c r="P31" s="215"/>
    </row>
    <row r="32" spans="2:16" x14ac:dyDescent="0.25">
      <c r="B32" s="215"/>
      <c r="C32" s="215"/>
      <c r="D32" s="215"/>
      <c r="E32" s="215"/>
      <c r="F32" s="215"/>
      <c r="G32" s="215"/>
      <c r="H32" s="215"/>
      <c r="I32" s="215"/>
      <c r="J32" s="215"/>
      <c r="K32" s="215"/>
      <c r="L32" s="215"/>
      <c r="M32" s="215"/>
      <c r="N32" s="215"/>
      <c r="O32" s="215"/>
      <c r="P32" s="215"/>
    </row>
    <row r="33" spans="2:16" x14ac:dyDescent="0.25">
      <c r="B33" s="215" t="s">
        <v>231</v>
      </c>
      <c r="C33" s="215"/>
      <c r="D33" s="215"/>
      <c r="E33" s="215"/>
      <c r="F33" s="215"/>
      <c r="G33" s="215"/>
      <c r="H33" s="215"/>
      <c r="I33" s="215"/>
      <c r="J33" s="215"/>
      <c r="K33" s="215"/>
      <c r="L33" s="215"/>
      <c r="M33" s="215"/>
      <c r="N33" s="215"/>
      <c r="O33" s="215"/>
      <c r="P33" s="215"/>
    </row>
    <row r="34" spans="2:16" x14ac:dyDescent="0.25">
      <c r="B34" s="215"/>
      <c r="C34" s="215"/>
      <c r="D34" s="215"/>
      <c r="E34" s="215"/>
      <c r="F34" s="215"/>
      <c r="G34" s="215"/>
      <c r="H34" s="215"/>
      <c r="I34" s="215"/>
      <c r="J34" s="215"/>
      <c r="K34" s="215"/>
      <c r="L34" s="215"/>
      <c r="M34" s="215"/>
      <c r="N34" s="215"/>
      <c r="O34" s="215"/>
      <c r="P34" s="215"/>
    </row>
    <row r="35" spans="2:16" x14ac:dyDescent="0.25">
      <c r="B35" s="215"/>
      <c r="C35" s="215"/>
      <c r="D35" s="215"/>
      <c r="E35" s="215"/>
      <c r="F35" s="215"/>
      <c r="G35" s="215"/>
      <c r="H35" s="215"/>
      <c r="I35" s="215"/>
      <c r="J35" s="215"/>
      <c r="K35" s="215"/>
      <c r="L35" s="215"/>
      <c r="M35" s="215"/>
      <c r="N35" s="215"/>
      <c r="O35" s="215"/>
      <c r="P35" s="215"/>
    </row>
    <row r="36" spans="2:16" ht="15" customHeight="1" x14ac:dyDescent="0.25">
      <c r="B36" s="215" t="s">
        <v>232</v>
      </c>
      <c r="C36" s="215"/>
      <c r="D36" s="215"/>
      <c r="E36" s="215"/>
      <c r="F36" s="215"/>
      <c r="G36" s="215"/>
      <c r="H36" s="215"/>
      <c r="I36" s="215"/>
      <c r="J36" s="215"/>
      <c r="K36" s="215"/>
      <c r="L36" s="215"/>
      <c r="M36" s="215"/>
      <c r="N36" s="215"/>
      <c r="O36" s="215"/>
      <c r="P36" s="215"/>
    </row>
    <row r="37" spans="2:16" x14ac:dyDescent="0.25">
      <c r="B37" s="215"/>
      <c r="C37" s="215"/>
      <c r="D37" s="215"/>
      <c r="E37" s="215"/>
      <c r="F37" s="215"/>
      <c r="G37" s="215"/>
      <c r="H37" s="215"/>
      <c r="I37" s="215"/>
      <c r="J37" s="215"/>
      <c r="K37" s="215"/>
      <c r="L37" s="215"/>
      <c r="M37" s="215"/>
      <c r="N37" s="215"/>
      <c r="O37" s="215"/>
      <c r="P37" s="215"/>
    </row>
    <row r="38" spans="2:16" x14ac:dyDescent="0.25">
      <c r="B38" s="215"/>
      <c r="C38" s="215"/>
      <c r="D38" s="215"/>
      <c r="E38" s="215"/>
      <c r="F38" s="215"/>
      <c r="G38" s="215"/>
      <c r="H38" s="215"/>
      <c r="I38" s="215"/>
      <c r="J38" s="215"/>
      <c r="K38" s="215"/>
      <c r="L38" s="215"/>
      <c r="M38" s="215"/>
      <c r="N38" s="215"/>
      <c r="O38" s="215"/>
      <c r="P38" s="215"/>
    </row>
    <row r="39" spans="2:16" x14ac:dyDescent="0.25">
      <c r="B39" s="215"/>
      <c r="C39" s="215"/>
      <c r="D39" s="215"/>
      <c r="E39" s="215"/>
      <c r="F39" s="215"/>
      <c r="G39" s="215"/>
      <c r="H39" s="215"/>
      <c r="I39" s="215"/>
      <c r="J39" s="215"/>
      <c r="K39" s="215"/>
      <c r="L39" s="215"/>
      <c r="M39" s="215"/>
      <c r="N39" s="215"/>
      <c r="O39" s="215"/>
      <c r="P39" s="215"/>
    </row>
    <row r="40" spans="2:16" x14ac:dyDescent="0.25">
      <c r="B40" s="215" t="s">
        <v>233</v>
      </c>
      <c r="C40" s="215"/>
      <c r="D40" s="215"/>
      <c r="E40" s="215"/>
      <c r="F40" s="215"/>
      <c r="G40" s="215"/>
      <c r="H40" s="215"/>
      <c r="I40" s="215"/>
      <c r="J40" s="215"/>
      <c r="K40" s="215"/>
      <c r="L40" s="215"/>
      <c r="M40" s="215"/>
      <c r="N40" s="215"/>
      <c r="O40" s="215"/>
      <c r="P40" s="215"/>
    </row>
    <row r="41" spans="2:16" x14ac:dyDescent="0.25">
      <c r="B41" s="215"/>
      <c r="C41" s="215"/>
      <c r="D41" s="215"/>
      <c r="E41" s="215"/>
      <c r="F41" s="215"/>
      <c r="G41" s="215"/>
      <c r="H41" s="215"/>
      <c r="I41" s="215"/>
      <c r="J41" s="215"/>
      <c r="K41" s="215"/>
      <c r="L41" s="215"/>
      <c r="M41" s="215"/>
      <c r="N41" s="215"/>
      <c r="O41" s="215"/>
      <c r="P41" s="215"/>
    </row>
    <row r="42" spans="2:16" x14ac:dyDescent="0.25">
      <c r="B42" s="215"/>
      <c r="C42" s="215"/>
      <c r="D42" s="215"/>
      <c r="E42" s="215"/>
      <c r="F42" s="215"/>
      <c r="G42" s="215"/>
      <c r="H42" s="215"/>
      <c r="I42" s="215"/>
      <c r="J42" s="215"/>
      <c r="K42" s="215"/>
      <c r="L42" s="215"/>
      <c r="M42" s="215"/>
      <c r="N42" s="215"/>
      <c r="O42" s="215"/>
      <c r="P42" s="215"/>
    </row>
    <row r="43" spans="2:16" ht="15" customHeight="1" x14ac:dyDescent="0.25">
      <c r="B43" s="215" t="s">
        <v>236</v>
      </c>
      <c r="C43" s="215"/>
      <c r="D43" s="215"/>
      <c r="E43" s="215"/>
      <c r="F43" s="215"/>
      <c r="G43" s="215"/>
      <c r="H43" s="215"/>
      <c r="I43" s="215"/>
      <c r="J43" s="215"/>
      <c r="K43" s="215"/>
      <c r="L43" s="215"/>
      <c r="M43" s="215"/>
      <c r="N43" s="215"/>
      <c r="O43" s="215"/>
      <c r="P43" s="215"/>
    </row>
    <row r="44" spans="2:16" x14ac:dyDescent="0.25">
      <c r="B44" s="215"/>
      <c r="C44" s="215"/>
      <c r="D44" s="215"/>
      <c r="E44" s="215"/>
      <c r="F44" s="215"/>
      <c r="G44" s="215"/>
      <c r="H44" s="215"/>
      <c r="I44" s="215"/>
      <c r="J44" s="215"/>
      <c r="K44" s="215"/>
      <c r="L44" s="215"/>
      <c r="M44" s="215"/>
      <c r="N44" s="215"/>
      <c r="O44" s="215"/>
      <c r="P44" s="215"/>
    </row>
    <row r="45" spans="2:16" x14ac:dyDescent="0.25">
      <c r="B45" s="215"/>
      <c r="C45" s="215"/>
      <c r="D45" s="215"/>
      <c r="E45" s="215"/>
      <c r="F45" s="215"/>
      <c r="G45" s="215"/>
      <c r="H45" s="215"/>
      <c r="I45" s="215"/>
      <c r="J45" s="215"/>
      <c r="K45" s="215"/>
      <c r="L45" s="215"/>
      <c r="M45" s="215"/>
      <c r="N45" s="215"/>
      <c r="O45" s="215"/>
      <c r="P45" s="215"/>
    </row>
    <row r="46" spans="2:16" x14ac:dyDescent="0.25">
      <c r="B46" s="215"/>
      <c r="C46" s="215"/>
      <c r="D46" s="215"/>
      <c r="E46" s="215"/>
      <c r="F46" s="215"/>
      <c r="G46" s="215"/>
      <c r="H46" s="215"/>
      <c r="I46" s="215"/>
      <c r="J46" s="215"/>
      <c r="K46" s="215"/>
      <c r="L46" s="215"/>
      <c r="M46" s="215"/>
      <c r="N46" s="215"/>
      <c r="O46" s="215"/>
      <c r="P46" s="215"/>
    </row>
    <row r="47" spans="2:16" x14ac:dyDescent="0.25">
      <c r="B47" s="215"/>
      <c r="C47" s="215"/>
      <c r="D47" s="215"/>
      <c r="E47" s="215"/>
      <c r="F47" s="215"/>
      <c r="G47" s="215"/>
      <c r="H47" s="215"/>
      <c r="I47" s="215"/>
      <c r="J47" s="215"/>
      <c r="K47" s="215"/>
      <c r="L47" s="215"/>
      <c r="M47" s="215"/>
      <c r="N47" s="215"/>
      <c r="O47" s="215"/>
      <c r="P47" s="215"/>
    </row>
    <row r="48" spans="2:16" x14ac:dyDescent="0.25">
      <c r="B48" s="215" t="s">
        <v>235</v>
      </c>
      <c r="C48" s="215"/>
      <c r="D48" s="215"/>
      <c r="E48" s="215"/>
      <c r="F48" s="215"/>
      <c r="G48" s="215"/>
      <c r="H48" s="215"/>
      <c r="I48" s="215"/>
      <c r="J48" s="215"/>
      <c r="K48" s="215"/>
      <c r="L48" s="215"/>
      <c r="M48" s="215"/>
      <c r="N48" s="215"/>
      <c r="O48" s="215"/>
      <c r="P48" s="215"/>
    </row>
    <row r="49" spans="2:16" x14ac:dyDescent="0.25">
      <c r="B49" s="215"/>
      <c r="C49" s="215"/>
      <c r="D49" s="215"/>
      <c r="E49" s="215"/>
      <c r="F49" s="215"/>
      <c r="G49" s="215"/>
      <c r="H49" s="215"/>
      <c r="I49" s="215"/>
      <c r="J49" s="215"/>
      <c r="K49" s="215"/>
      <c r="L49" s="215"/>
      <c r="M49" s="215"/>
      <c r="N49" s="215"/>
      <c r="O49" s="215"/>
      <c r="P49" s="215"/>
    </row>
    <row r="50" spans="2:16" x14ac:dyDescent="0.25">
      <c r="B50" s="215"/>
      <c r="C50" s="215"/>
      <c r="D50" s="215"/>
      <c r="E50" s="215"/>
      <c r="F50" s="215"/>
      <c r="G50" s="215"/>
      <c r="H50" s="215"/>
      <c r="I50" s="215"/>
      <c r="J50" s="215"/>
      <c r="K50" s="215"/>
      <c r="L50" s="215"/>
      <c r="M50" s="215"/>
      <c r="N50" s="215"/>
      <c r="O50" s="215"/>
      <c r="P50" s="215"/>
    </row>
    <row r="51" spans="2:16" x14ac:dyDescent="0.25">
      <c r="B51" s="215" t="s">
        <v>333</v>
      </c>
      <c r="C51" s="215"/>
      <c r="D51" s="215"/>
      <c r="E51" s="215"/>
      <c r="F51" s="215"/>
      <c r="G51" s="215"/>
      <c r="H51" s="215"/>
      <c r="I51" s="215"/>
      <c r="J51" s="215"/>
      <c r="K51" s="215"/>
      <c r="L51" s="215"/>
      <c r="M51" s="215"/>
      <c r="N51" s="215"/>
      <c r="O51" s="215"/>
      <c r="P51" s="215"/>
    </row>
    <row r="52" spans="2:16" x14ac:dyDescent="0.25">
      <c r="B52" s="215"/>
      <c r="C52" s="215"/>
      <c r="D52" s="215"/>
      <c r="E52" s="215"/>
      <c r="F52" s="215"/>
      <c r="G52" s="215"/>
      <c r="H52" s="215"/>
      <c r="I52" s="215"/>
      <c r="J52" s="215"/>
      <c r="K52" s="215"/>
      <c r="L52" s="215"/>
      <c r="M52" s="215"/>
      <c r="N52" s="215"/>
      <c r="O52" s="215"/>
      <c r="P52" s="215"/>
    </row>
    <row r="53" spans="2:16" x14ac:dyDescent="0.25">
      <c r="B53" s="215"/>
      <c r="C53" s="215"/>
      <c r="D53" s="215"/>
      <c r="E53" s="215"/>
      <c r="F53" s="215"/>
      <c r="G53" s="215"/>
      <c r="H53" s="215"/>
      <c r="I53" s="215"/>
      <c r="J53" s="215"/>
      <c r="K53" s="215"/>
      <c r="L53" s="215"/>
      <c r="M53" s="215"/>
      <c r="N53" s="215"/>
      <c r="O53" s="215"/>
      <c r="P53" s="215"/>
    </row>
    <row r="54" spans="2:16" x14ac:dyDescent="0.25">
      <c r="B54" s="215"/>
      <c r="C54" s="215"/>
      <c r="D54" s="215"/>
      <c r="E54" s="215"/>
      <c r="F54" s="215"/>
      <c r="G54" s="215"/>
      <c r="H54" s="215"/>
      <c r="I54" s="215"/>
      <c r="J54" s="215"/>
      <c r="K54" s="215"/>
      <c r="L54" s="215"/>
      <c r="M54" s="215"/>
      <c r="N54" s="215"/>
      <c r="O54" s="215"/>
      <c r="P54" s="215"/>
    </row>
  </sheetData>
  <sheetProtection algorithmName="SHA-512" hashValue="buBZ6kBN8Rgkfn7cE8tlg914XNtZqZHoO7mX4AyOTzqUI7zzvlM53dFZGNXOXjo9zSJOOYMR0+/5DCv/Wr0YWQ==" saltValue="Q6Y48gDep0ZrVRQvZ2JueA==" spinCount="100000" sheet="1" objects="1" scenarios="1"/>
  <mergeCells count="10">
    <mergeCell ref="B1:P14"/>
    <mergeCell ref="B15:P18"/>
    <mergeCell ref="B33:P35"/>
    <mergeCell ref="B36:P39"/>
    <mergeCell ref="B19:P24"/>
    <mergeCell ref="B51:P54"/>
    <mergeCell ref="B48:P50"/>
    <mergeCell ref="B43:P47"/>
    <mergeCell ref="B40:P42"/>
    <mergeCell ref="B25:P32"/>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V108"/>
  <sheetViews>
    <sheetView zoomScaleNormal="100" workbookViewId="0">
      <selection activeCell="B2" sqref="B2:V3"/>
    </sheetView>
  </sheetViews>
  <sheetFormatPr defaultRowHeight="15" x14ac:dyDescent="0.25"/>
  <sheetData>
    <row r="2" spans="2:22" x14ac:dyDescent="0.25">
      <c r="B2" s="226" t="s">
        <v>302</v>
      </c>
      <c r="C2" s="226"/>
      <c r="D2" s="226"/>
      <c r="E2" s="226"/>
      <c r="F2" s="226"/>
      <c r="G2" s="226"/>
      <c r="H2" s="226"/>
      <c r="I2" s="226"/>
      <c r="J2" s="226"/>
      <c r="K2" s="226"/>
      <c r="L2" s="226"/>
      <c r="M2" s="226"/>
      <c r="N2" s="226"/>
      <c r="O2" s="226"/>
      <c r="P2" s="226"/>
      <c r="Q2" s="226"/>
      <c r="R2" s="226"/>
      <c r="S2" s="226"/>
      <c r="T2" s="226"/>
      <c r="U2" s="226"/>
      <c r="V2" s="226"/>
    </row>
    <row r="3" spans="2:22" x14ac:dyDescent="0.25">
      <c r="B3" s="226"/>
      <c r="C3" s="226"/>
      <c r="D3" s="226"/>
      <c r="E3" s="226"/>
      <c r="F3" s="226"/>
      <c r="G3" s="226"/>
      <c r="H3" s="226"/>
      <c r="I3" s="226"/>
      <c r="J3" s="226"/>
      <c r="K3" s="226"/>
      <c r="L3" s="226"/>
      <c r="M3" s="226"/>
      <c r="N3" s="226"/>
      <c r="O3" s="226"/>
      <c r="P3" s="226"/>
      <c r="Q3" s="226"/>
      <c r="R3" s="226"/>
      <c r="S3" s="226"/>
      <c r="T3" s="226"/>
      <c r="U3" s="226"/>
      <c r="V3" s="226"/>
    </row>
    <row r="4" spans="2:22" x14ac:dyDescent="0.25">
      <c r="B4" s="307" t="s">
        <v>284</v>
      </c>
      <c r="C4" s="307"/>
      <c r="D4" s="307"/>
      <c r="E4" s="307"/>
      <c r="F4" s="307"/>
      <c r="G4" s="307"/>
      <c r="H4" s="307"/>
      <c r="I4" s="307"/>
      <c r="J4" s="307"/>
      <c r="K4" s="307"/>
      <c r="L4" s="307"/>
      <c r="M4" s="307"/>
      <c r="N4" s="307"/>
      <c r="O4" s="307"/>
      <c r="P4" s="307"/>
      <c r="Q4" s="307"/>
      <c r="R4" s="307"/>
      <c r="S4" s="307"/>
      <c r="T4" s="307"/>
      <c r="U4" s="307"/>
      <c r="V4" s="307"/>
    </row>
    <row r="6" spans="2:22" x14ac:dyDescent="0.25">
      <c r="B6" s="247" t="s">
        <v>95</v>
      </c>
      <c r="C6" s="248"/>
      <c r="D6" s="248"/>
      <c r="E6" s="248"/>
      <c r="F6" s="248"/>
      <c r="G6" s="248"/>
      <c r="H6" s="248"/>
      <c r="I6" s="248"/>
      <c r="J6" s="248"/>
      <c r="K6" s="248"/>
      <c r="L6" s="248"/>
      <c r="M6" s="248"/>
      <c r="N6" s="248"/>
      <c r="O6" s="248"/>
      <c r="P6" s="248"/>
      <c r="Q6" s="248"/>
      <c r="R6" s="248"/>
      <c r="S6" s="248"/>
      <c r="T6" s="248"/>
      <c r="U6" s="248"/>
      <c r="V6" s="248"/>
    </row>
    <row r="7" spans="2:22" x14ac:dyDescent="0.25">
      <c r="B7" s="159"/>
      <c r="C7" s="160"/>
      <c r="D7" s="160"/>
      <c r="E7" s="160"/>
      <c r="F7" s="160"/>
      <c r="G7" s="160"/>
      <c r="H7" s="160"/>
      <c r="I7" s="160"/>
      <c r="J7" s="160"/>
      <c r="K7" s="160"/>
      <c r="L7" s="160"/>
      <c r="M7" s="160"/>
      <c r="N7" s="160"/>
      <c r="O7" s="160"/>
      <c r="P7" s="160"/>
      <c r="Q7" s="160"/>
      <c r="R7" s="160"/>
      <c r="S7" s="160"/>
      <c r="T7" s="160"/>
      <c r="U7" s="160"/>
      <c r="V7" s="160"/>
    </row>
    <row r="8" spans="2:22" x14ac:dyDescent="0.25">
      <c r="I8" s="306" t="s">
        <v>261</v>
      </c>
      <c r="J8" s="306"/>
      <c r="K8" s="306"/>
      <c r="L8" s="306"/>
      <c r="M8" s="306"/>
      <c r="N8" s="306"/>
      <c r="O8" s="213" t="s">
        <v>268</v>
      </c>
    </row>
    <row r="9" spans="2:22" x14ac:dyDescent="0.25">
      <c r="I9" s="306" t="s">
        <v>263</v>
      </c>
      <c r="J9" s="306"/>
      <c r="K9" s="306"/>
      <c r="L9" s="306"/>
      <c r="M9" s="306"/>
      <c r="N9" s="306"/>
      <c r="O9" s="214">
        <v>5</v>
      </c>
    </row>
    <row r="10" spans="2:22" x14ac:dyDescent="0.25">
      <c r="I10" s="306" t="s">
        <v>262</v>
      </c>
      <c r="J10" s="306"/>
      <c r="K10" s="306"/>
      <c r="L10" s="306"/>
      <c r="M10" s="306"/>
      <c r="N10" s="306"/>
      <c r="O10" s="214">
        <v>3</v>
      </c>
    </row>
    <row r="11" spans="2:22" x14ac:dyDescent="0.25">
      <c r="B11" s="159"/>
      <c r="C11" s="160"/>
      <c r="D11" s="160"/>
      <c r="E11" s="160"/>
      <c r="F11" s="160"/>
      <c r="G11" s="160"/>
      <c r="H11" s="160"/>
      <c r="I11" s="160"/>
      <c r="J11" s="160"/>
      <c r="K11" s="160"/>
      <c r="L11" s="160"/>
      <c r="M11" s="160"/>
      <c r="N11" s="160"/>
      <c r="O11" s="160"/>
      <c r="P11" s="160"/>
      <c r="Q11" s="160"/>
      <c r="R11" s="160"/>
      <c r="S11" s="160"/>
      <c r="T11" s="160"/>
      <c r="U11" s="160"/>
      <c r="V11" s="160"/>
    </row>
    <row r="12" spans="2:22" x14ac:dyDescent="0.25">
      <c r="B12" s="159"/>
      <c r="C12" s="160"/>
      <c r="D12" s="160"/>
      <c r="E12" s="160"/>
      <c r="F12" s="160"/>
      <c r="G12" s="160"/>
      <c r="H12" s="160"/>
      <c r="I12" s="160"/>
      <c r="J12" s="274" t="str">
        <f>"Wysokość  ze = "&amp;TEXT('Obliczenia wiatr I'!D46,"####0,0##")&amp;" m"</f>
        <v>Wysokość  ze = 25,0 m</v>
      </c>
      <c r="K12" s="275"/>
      <c r="L12" s="275"/>
      <c r="M12" s="275"/>
      <c r="N12" s="276"/>
      <c r="O12" s="160"/>
      <c r="P12" s="160"/>
      <c r="Q12" s="160"/>
      <c r="R12" s="160"/>
      <c r="S12" s="160"/>
      <c r="T12" s="160"/>
      <c r="U12" s="160"/>
      <c r="V12" s="160"/>
    </row>
    <row r="13" spans="2:22" x14ac:dyDescent="0.25">
      <c r="B13" s="159"/>
      <c r="C13" s="160"/>
      <c r="D13" s="160"/>
      <c r="E13" s="160"/>
      <c r="F13" s="160"/>
      <c r="G13" s="160"/>
      <c r="H13" s="160"/>
      <c r="I13" s="160"/>
      <c r="J13" s="277"/>
      <c r="K13" s="278"/>
      <c r="L13" s="278"/>
      <c r="M13" s="278"/>
      <c r="N13" s="279"/>
      <c r="O13" s="160"/>
      <c r="P13" s="160"/>
      <c r="Q13" s="160"/>
      <c r="R13" s="160"/>
      <c r="S13" s="160"/>
      <c r="T13" s="160"/>
      <c r="U13" s="160"/>
      <c r="V13" s="160"/>
    </row>
    <row r="14" spans="2:22" x14ac:dyDescent="0.25">
      <c r="J14" s="277"/>
      <c r="K14" s="278"/>
      <c r="L14" s="278"/>
      <c r="M14" s="278"/>
      <c r="N14" s="279"/>
    </row>
    <row r="15" spans="2:22" x14ac:dyDescent="0.25">
      <c r="I15" s="301" t="s">
        <v>180</v>
      </c>
      <c r="J15" s="267" t="str">
        <f>'Wyniki graficzne wiatr I'!J11</f>
        <v/>
      </c>
      <c r="K15" s="267" t="str">
        <f>'Wyniki graficzne wiatr I'!K11</f>
        <v/>
      </c>
      <c r="L15" s="267" t="str">
        <f>'Wyniki graficzne wiatr I'!L11</f>
        <v/>
      </c>
      <c r="M15" s="267" t="str">
        <f>'Wyniki graficzne wiatr I'!M11</f>
        <v/>
      </c>
      <c r="N15" s="267">
        <f>'Wyniki graficzne wiatr I'!N11</f>
        <v>10</v>
      </c>
      <c r="O15" s="1"/>
    </row>
    <row r="16" spans="2:22" x14ac:dyDescent="0.25">
      <c r="I16" s="302"/>
      <c r="J16" s="304"/>
      <c r="K16" s="304"/>
      <c r="L16" s="304"/>
      <c r="M16" s="304"/>
      <c r="N16" s="304"/>
      <c r="O16" s="1"/>
    </row>
    <row r="17" spans="5:21" x14ac:dyDescent="0.25">
      <c r="I17" s="302"/>
      <c r="J17" s="304"/>
      <c r="K17" s="304"/>
      <c r="L17" s="304"/>
      <c r="M17" s="304"/>
      <c r="N17" s="304"/>
      <c r="O17" s="1"/>
    </row>
    <row r="18" spans="5:21" x14ac:dyDescent="0.25">
      <c r="I18" s="303"/>
      <c r="J18" s="305"/>
      <c r="K18" s="305"/>
      <c r="L18" s="305"/>
      <c r="M18" s="305"/>
      <c r="N18" s="305"/>
      <c r="O18" s="1"/>
    </row>
    <row r="19" spans="5:21" ht="15" customHeight="1" x14ac:dyDescent="0.25">
      <c r="I19" s="292" t="s">
        <v>264</v>
      </c>
      <c r="J19" s="291">
        <f t="array" ref="J19">IF(O8="T",INDEX(F84:F100,MATCH(TRUE,E84:E100&gt;=J63,0)),IF(O8="W",INDEX(M84:M100,MATCH(TRUE,L84:L100&gt;=J63,0)),IF(O8="H",INDEX(T84:T103,MATCH(TRUE,S84:S103&gt;=J63,0)),0)))</f>
        <v>5</v>
      </c>
      <c r="K19" s="291">
        <f t="array" ref="K19">IF(O8="T",INDEX(F84:F100,MATCH(TRUE,E84:E100&gt;=K63,0)),IF(O8="W",INDEX(M84:M100,MATCH(TRUE,L84:L100&gt;=K63,0)),IF(O8="H",INDEX(T84:T103,MATCH(TRUE,S84:S103&gt;=K63,0)),0)))</f>
        <v>5</v>
      </c>
      <c r="L19" s="291">
        <f t="array" ref="L19">IF(O8="T",INDEX(F84:F100,MATCH(TRUE,E84:E100&gt;=L63,0)),IF(O8="W",INDEX(M84:M100,MATCH(TRUE,L84:L100&gt;=L63,0)),IF(O8="H",INDEX(T84:T103,MATCH(TRUE,S84:S103&gt;=L63,0)),0)))</f>
        <v>5</v>
      </c>
      <c r="M19" s="291">
        <f t="array" ref="M19">IF(O8="T",INDEX(F84:F100,MATCH(TRUE,E84:E100&gt;=M63,0)),IF(O8="W",INDEX(M84:M100,MATCH(TRUE,L84:L100&gt;=M63,0)),IF(O8="H",INDEX(T84:T103,MATCH(TRUE,S84:S103&gt;=M63,0)),0)))</f>
        <v>5</v>
      </c>
      <c r="N19" s="291">
        <f t="array" ref="N19">IF(O8="T",INDEX(F84:F100,MATCH(TRUE,E84:E100&gt;=N63,0)),IF(O8="W",INDEX(M84:M100,MATCH(TRUE,L84:L100&gt;=N63,0)),IF(O8="H",INDEX(T84:T103,MATCH(TRUE,S84:S103&gt;=N63,0)),0)))</f>
        <v>5</v>
      </c>
      <c r="O19" s="270" t="s">
        <v>264</v>
      </c>
    </row>
    <row r="20" spans="5:21" ht="15" customHeight="1" x14ac:dyDescent="0.25">
      <c r="I20" s="292"/>
      <c r="J20" s="291"/>
      <c r="K20" s="291"/>
      <c r="L20" s="291"/>
      <c r="M20" s="291"/>
      <c r="N20" s="291"/>
      <c r="O20" s="270"/>
    </row>
    <row r="21" spans="5:21" ht="15" customHeight="1" x14ac:dyDescent="0.25">
      <c r="I21" s="292" t="s">
        <v>269</v>
      </c>
      <c r="J21" s="299">
        <f t="array" ref="J21">IF(O8="T",INDEX(G84:G100,MATCH(TRUE,E84:E100&gt;=J63,0)),IF(O8="W",INDEX(N84:N100,MATCH(TRUE,L84:L100&gt;=J63,0)),IF(O8="H",INDEX(U84:U103,MATCH(TRUE,S84:S103&gt;=J63,0)),0)))</f>
        <v>8</v>
      </c>
      <c r="K21" s="299">
        <f t="array" ref="K21">IF(O8="T",INDEX(G84:G100,MATCH(TRUE,E84:E100&gt;=K63,0)),IF(O8="W",INDEX(N84:N100,MATCH(TRUE,L84:L100&gt;=K63,0)),IF(O8="H",INDEX(U84:U103,MATCH(TRUE,S84:S103&gt;=K63,0)),0)))</f>
        <v>8</v>
      </c>
      <c r="L21" s="299">
        <f t="array" ref="L21">IF(O8="T",INDEX(G84:G100,MATCH(TRUE,E84:E100&gt;=L63,0)),IF(O8="W",INDEX(N84:N100,MATCH(TRUE,L84:L100&gt;=L63,0)),IF(O8="H",INDEX(U84:U103,MATCH(TRUE,S84:S103&gt;=L63,0)),0)))</f>
        <v>8</v>
      </c>
      <c r="M21" s="299">
        <f t="array" ref="M21">IF(O8="T",INDEX(G84:G100,MATCH(TRUE,E84:E100&gt;=M63,0)),IF(O8="W",INDEX(N84:N100,MATCH(TRUE,L84:L100&gt;=M63,0)),IF(O8="H",INDEX(U84:U103,MATCH(TRUE,S84:S103&gt;=M63,0)),0)))</f>
        <v>8</v>
      </c>
      <c r="N21" s="299">
        <f t="array" ref="N21">IF(O8="T",INDEX(G84:G100,MATCH(TRUE,E84:E100&gt;=N63,0)),IF(O8="W",INDEX(N84:N100,MATCH(TRUE,L84:L100&gt;=N63,0)),IF(O8="H",INDEX(U84:U103,MATCH(TRUE,S84:S103&gt;=N63,0)),0)))</f>
        <v>8</v>
      </c>
      <c r="O21" s="292" t="s">
        <v>269</v>
      </c>
    </row>
    <row r="22" spans="5:21" ht="15" customHeight="1" x14ac:dyDescent="0.25">
      <c r="I22" s="292"/>
      <c r="J22" s="299"/>
      <c r="K22" s="299"/>
      <c r="L22" s="299"/>
      <c r="M22" s="299"/>
      <c r="N22" s="299"/>
      <c r="O22" s="292"/>
    </row>
    <row r="23" spans="5:21" ht="15.75" customHeight="1" thickBot="1" x14ac:dyDescent="0.3">
      <c r="F23" s="160"/>
      <c r="G23" s="190" t="s">
        <v>180</v>
      </c>
      <c r="H23" s="181" t="s">
        <v>264</v>
      </c>
      <c r="I23" s="292"/>
      <c r="J23" s="300"/>
      <c r="K23" s="300"/>
      <c r="L23" s="300"/>
      <c r="M23" s="300"/>
      <c r="N23" s="300"/>
      <c r="O23" s="292"/>
      <c r="P23" s="180" t="s">
        <v>264</v>
      </c>
      <c r="Q23" s="192" t="s">
        <v>180</v>
      </c>
    </row>
    <row r="24" spans="5:21" ht="15.75" customHeight="1" thickTop="1" x14ac:dyDescent="0.25">
      <c r="E24" s="244" t="str">
        <f>"Wysokość  ze = "&amp;TEXT('Obliczenia wiatr I'!C46,"####0,0##")&amp;" m"</f>
        <v>Wysokość  ze = 25,0 m</v>
      </c>
      <c r="F24" s="260" t="str">
        <f>TEXT(K75+K76+K77,"####0,0##")&amp;" m"</f>
        <v>28,0 m</v>
      </c>
      <c r="G24" s="262">
        <f>'Wyniki graficzne wiatr I'!G20</f>
        <v>2</v>
      </c>
      <c r="H24" s="291">
        <f t="array" ref="H24">IF(O8="T",INDEX(F84:F100,MATCH(TRUE,E84:E100&gt;=I64,0)),IF(O8="W",INDEX(M84:M100,MATCH(TRUE,L84:L100&gt;=I64,0)),IF(O8="H",INDEX(T84:T103,MATCH(TRUE,S84:S103&gt;=I64,0)),0)))</f>
        <v>5</v>
      </c>
      <c r="I24" s="290">
        <f t="array" ref="I24">IF(O8="T",INDEX(G84:G100,MATCH(TRUE,E84:E100&gt;=I64,0)),IF(O8="W",INDEX(N84:N100,MATCH(TRUE,L84:L100&gt;=I64,0)),IF(O8="H",INDEX(U84:U103,MATCH(TRUE,S84:S103&gt;=I64,0)),0)))</f>
        <v>8</v>
      </c>
      <c r="J24" s="74"/>
      <c r="K24" s="75"/>
      <c r="L24" s="87" t="s">
        <v>98</v>
      </c>
      <c r="M24" s="75"/>
      <c r="N24" s="76"/>
      <c r="O24" s="289">
        <f t="array" ref="O24">IF(O8="T",INDEX(G84:G100,MATCH(TRUE,E84:E100&gt;=O64,0)),IF(O8="W",INDEX(N84:N100,MATCH(TRUE,L84:L100&gt;=O64,0)),IF(O8="H",INDEX(U84:U103,MATCH(TRUE,S84:S103&gt;=O64,0)),0)))</f>
        <v>8</v>
      </c>
      <c r="P24" s="291">
        <f t="array" ref="P24">IF(O8="T",INDEX(F84:F100,MATCH(TRUE,E84:E100&gt;=O64,0)),IF(O8="W",INDEX(M84:M100,MATCH(TRUE,L84:L100&gt;=O64,0)),IF(O8="H",INDEX(T84:T103,MATCH(TRUE,S84:S103&gt;=O64,0)),0)))</f>
        <v>5</v>
      </c>
      <c r="Q24" s="262">
        <f>'Wyniki graficzne wiatr I'!Q20</f>
        <v>2</v>
      </c>
      <c r="R24" s="244" t="str">
        <f>"Wysokość  ze = "&amp;TEXT('Obliczenia wiatr I'!C46,"####0,0##")&amp;" m"</f>
        <v>Wysokość  ze = 25,0 m</v>
      </c>
    </row>
    <row r="25" spans="5:21" ht="15" customHeight="1" x14ac:dyDescent="0.25">
      <c r="E25" s="244"/>
      <c r="F25" s="260"/>
      <c r="G25" s="262"/>
      <c r="H25" s="291"/>
      <c r="I25" s="290"/>
      <c r="J25" s="271"/>
      <c r="K25" s="287"/>
      <c r="L25" s="77"/>
      <c r="M25" s="78"/>
      <c r="N25" s="79"/>
      <c r="O25" s="289"/>
      <c r="P25" s="291"/>
      <c r="Q25" s="262"/>
      <c r="R25" s="244"/>
    </row>
    <row r="26" spans="5:21" ht="15" customHeight="1" x14ac:dyDescent="0.25">
      <c r="E26" s="244"/>
      <c r="F26" s="260"/>
      <c r="G26" s="262"/>
      <c r="H26" s="291"/>
      <c r="I26" s="290"/>
      <c r="J26" s="271"/>
      <c r="K26" s="287"/>
      <c r="L26" s="77"/>
      <c r="M26" s="78"/>
      <c r="N26" s="79"/>
      <c r="O26" s="289"/>
      <c r="P26" s="291"/>
      <c r="Q26" s="262"/>
      <c r="R26" s="244"/>
    </row>
    <row r="27" spans="5:21" ht="15" customHeight="1" x14ac:dyDescent="0.25">
      <c r="E27" s="244"/>
      <c r="F27" s="260"/>
      <c r="G27" s="262"/>
      <c r="H27" s="291"/>
      <c r="I27" s="290"/>
      <c r="J27" s="80"/>
      <c r="K27" s="287"/>
      <c r="L27" s="77"/>
      <c r="M27" s="78"/>
      <c r="N27" s="79"/>
      <c r="O27" s="289"/>
      <c r="P27" s="291"/>
      <c r="Q27" s="262"/>
      <c r="R27" s="244"/>
    </row>
    <row r="28" spans="5:21" ht="15" customHeight="1" x14ac:dyDescent="0.25">
      <c r="E28" s="244"/>
      <c r="F28" s="260"/>
      <c r="G28" s="262">
        <f>'Wyniki graficzne wiatr I'!G24</f>
        <v>8</v>
      </c>
      <c r="H28" s="291">
        <f t="array" ref="H28">IF(O8="T",INDEX(F84:F100,MATCH(TRUE,E84:E100&gt;=I65,0)),IF(O8="W",INDEX(M84:M100,MATCH(TRUE,L84:L100&gt;=I65,0)),IF(O8="H",INDEX(T84:T103,MATCH(TRUE,S84:S103&gt;=I65,0)),0)))</f>
        <v>3</v>
      </c>
      <c r="I28" s="290">
        <f t="array" ref="I28">IF(O8="T",INDEX(G84:G100,MATCH(TRUE,E84:E100&gt;=I65,0)),IF(O8="W",INDEX(N84:N100,MATCH(TRUE,L84:L100&gt;=I65,0)),IF(O8="H",INDEX(U84:U103,MATCH(TRUE,S84:S103&gt;=I65,0)),0)))</f>
        <v>6</v>
      </c>
      <c r="J28" s="80"/>
      <c r="K28" s="287"/>
      <c r="L28" s="77"/>
      <c r="M28" s="78"/>
      <c r="N28" s="79"/>
      <c r="O28" s="289">
        <f t="array" ref="O28">IF(O8="T",INDEX(G84:G100,MATCH(TRUE,E84:E100&gt;=O65,0)),IF(O8="W",INDEX(N84:N100,MATCH(TRUE,L84:L100&gt;=O65,0)),IF(O8="H",INDEX(U84:U103,MATCH(TRUE,S84:S103&gt;=O65,0)),0)))</f>
        <v>6</v>
      </c>
      <c r="P28" s="291">
        <f t="array" ref="P28">IF(O8="T",INDEX(F84:F100,MATCH(TRUE,E84:E100&gt;=O65,0)),IF(O8="W",INDEX(M84:M100,MATCH(TRUE,L84:L100&gt;=O65,0)),IF(O8="H",INDEX(T84:T103,MATCH(TRUE,S84:S103&gt;=O65,0)),0)))</f>
        <v>3</v>
      </c>
      <c r="Q28" s="262">
        <f>'Wyniki graficzne wiatr I'!Q24</f>
        <v>8</v>
      </c>
      <c r="R28" s="244"/>
    </row>
    <row r="29" spans="5:21" ht="15" customHeight="1" x14ac:dyDescent="0.25">
      <c r="E29" s="244"/>
      <c r="F29" s="260"/>
      <c r="G29" s="262"/>
      <c r="H29" s="291"/>
      <c r="I29" s="290"/>
      <c r="J29" s="271"/>
      <c r="K29" s="287"/>
      <c r="L29" s="77"/>
      <c r="M29" s="78"/>
      <c r="N29" s="79"/>
      <c r="O29" s="289"/>
      <c r="P29" s="291"/>
      <c r="Q29" s="262"/>
      <c r="R29" s="244"/>
      <c r="U29" s="81"/>
    </row>
    <row r="30" spans="5:21" ht="15" customHeight="1" x14ac:dyDescent="0.25">
      <c r="E30" s="244"/>
      <c r="F30" s="260"/>
      <c r="G30" s="262"/>
      <c r="H30" s="291"/>
      <c r="I30" s="290"/>
      <c r="J30" s="271"/>
      <c r="K30" s="287"/>
      <c r="L30" s="77"/>
      <c r="M30" s="78"/>
      <c r="N30" s="79"/>
      <c r="O30" s="289"/>
      <c r="P30" s="291"/>
      <c r="Q30" s="262"/>
      <c r="R30" s="244"/>
      <c r="U30" s="81"/>
    </row>
    <row r="31" spans="5:21" ht="15" customHeight="1" x14ac:dyDescent="0.25">
      <c r="E31" s="244"/>
      <c r="F31" s="260"/>
      <c r="G31" s="262"/>
      <c r="H31" s="291"/>
      <c r="I31" s="290"/>
      <c r="J31" s="80"/>
      <c r="K31" s="287"/>
      <c r="L31" s="77"/>
      <c r="M31" s="78"/>
      <c r="N31" s="79"/>
      <c r="O31" s="289"/>
      <c r="P31" s="291"/>
      <c r="Q31" s="262"/>
      <c r="R31" s="244"/>
      <c r="U31" s="81"/>
    </row>
    <row r="32" spans="5:21" ht="15" customHeight="1" x14ac:dyDescent="0.25">
      <c r="E32" s="244"/>
      <c r="F32" s="260"/>
      <c r="G32" s="262">
        <f>'Wyniki graficzne wiatr I'!G28</f>
        <v>8</v>
      </c>
      <c r="H32" s="291">
        <f t="array" ref="H32">IF(O8="T",INDEX(F84:F100,MATCH(TRUE,E84:E100&gt;=I66,0)),IF(O8="W",INDEX(M84:M100,MATCH(TRUE,L84:L100&gt;=I66,0)),IF(O8="H",INDEX(T84:T103,MATCH(TRUE,S84:S103&gt;=I66,0)),0)))</f>
        <v>2</v>
      </c>
      <c r="I32" s="290">
        <f t="array" ref="I32">IF(O8="T",INDEX(G84:G100,MATCH(TRUE,E84:E100&gt;=I66,0)),IF(O8="W",INDEX(N84:N100,MATCH(TRUE,L84:L100&gt;=I66,0)),IF(O8="H",INDEX(U84:U103,MATCH(TRUE,S84:S103&gt;=I66,0)),0)))</f>
        <v>5</v>
      </c>
      <c r="J32" s="80"/>
      <c r="K32" s="287"/>
      <c r="L32" s="77"/>
      <c r="M32" s="78"/>
      <c r="N32" s="79"/>
      <c r="O32" s="289">
        <f t="array" ref="O32">IF(O8="T",INDEX(G84:G100,MATCH(TRUE,E84:E100&gt;=O66,0)),IF(O8="W",INDEX(N84:N100,MATCH(TRUE,L84:L100&gt;=O66,0)),IF(O8="H",INDEX(U84:U103,MATCH(TRUE,S84:S103&gt;=O66,0)),0)))</f>
        <v>5</v>
      </c>
      <c r="P32" s="291">
        <f t="array" ref="P32">IF(O8="T",INDEX(F84:F100,MATCH(TRUE,E84:E100&gt;=O66,0)),IF(O8="W",INDEX(M84:M100,MATCH(TRUE,L84:L100&gt;=O66,0)),IF(O8="H",INDEX(T84:T103,MATCH(TRUE,S84:S103&gt;=O66,0)),0)))</f>
        <v>2</v>
      </c>
      <c r="Q32" s="262">
        <f>'Wyniki graficzne wiatr I'!Q28</f>
        <v>8</v>
      </c>
      <c r="R32" s="244"/>
      <c r="U32" s="81"/>
    </row>
    <row r="33" spans="5:21" ht="15" customHeight="1" x14ac:dyDescent="0.25">
      <c r="E33" s="244"/>
      <c r="F33" s="260"/>
      <c r="G33" s="262"/>
      <c r="H33" s="291"/>
      <c r="I33" s="290"/>
      <c r="J33" s="265" t="s">
        <v>97</v>
      </c>
      <c r="K33" s="287"/>
      <c r="L33" s="284"/>
      <c r="M33" s="78"/>
      <c r="N33" s="266" t="s">
        <v>99</v>
      </c>
      <c r="O33" s="289"/>
      <c r="P33" s="291"/>
      <c r="Q33" s="262"/>
      <c r="R33" s="244"/>
      <c r="U33" s="81"/>
    </row>
    <row r="34" spans="5:21" ht="15" customHeight="1" x14ac:dyDescent="0.25">
      <c r="E34" s="244"/>
      <c r="F34" s="260"/>
      <c r="G34" s="262"/>
      <c r="H34" s="291"/>
      <c r="I34" s="290"/>
      <c r="J34" s="265"/>
      <c r="K34" s="287"/>
      <c r="L34" s="285"/>
      <c r="M34" s="78"/>
      <c r="N34" s="266"/>
      <c r="O34" s="289"/>
      <c r="P34" s="291"/>
      <c r="Q34" s="262"/>
      <c r="R34" s="244"/>
      <c r="U34" s="81"/>
    </row>
    <row r="35" spans="5:21" ht="15" customHeight="1" x14ac:dyDescent="0.25">
      <c r="E35" s="244"/>
      <c r="F35" s="260"/>
      <c r="G35" s="262"/>
      <c r="H35" s="291"/>
      <c r="I35" s="290"/>
      <c r="J35" s="161"/>
      <c r="K35" s="287"/>
      <c r="L35" s="77"/>
      <c r="M35" s="78"/>
      <c r="N35" s="79"/>
      <c r="O35" s="289"/>
      <c r="P35" s="291"/>
      <c r="Q35" s="262"/>
      <c r="R35" s="244"/>
      <c r="U35" s="81"/>
    </row>
    <row r="36" spans="5:21" ht="15" customHeight="1" x14ac:dyDescent="0.25">
      <c r="E36" s="244"/>
      <c r="F36" s="260"/>
      <c r="G36" s="262">
        <f>'Wyniki graficzne wiatr I'!G32</f>
        <v>8</v>
      </c>
      <c r="H36" s="291">
        <f t="array" ref="H36">IF(O8="T",INDEX(F84:F100,MATCH(TRUE,E84:E100&gt;=I67,0)),IF(O8="W",INDEX(M84:M100,MATCH(TRUE,L84:L100&gt;=I67,0)),IF(O8="H",INDEX(T84:T103,MATCH(TRUE,S84:S103&gt;=I67,0)),0)))</f>
        <v>3</v>
      </c>
      <c r="I36" s="290">
        <f t="array" ref="I36">IF(O8="T",INDEX(G84:G100,MATCH(TRUE,E84:E100&gt;=I67,0)),IF(O8="W",INDEX(N84:N100,MATCH(TRUE,L84:L100&gt;=I67,0)),IF(O8="H",INDEX(U84:U103,MATCH(TRUE,S84:S103&gt;=I67,0)),0)))</f>
        <v>6</v>
      </c>
      <c r="J36" s="80"/>
      <c r="K36" s="287"/>
      <c r="L36" s="77"/>
      <c r="M36" s="78"/>
      <c r="N36" s="79"/>
      <c r="O36" s="289">
        <f t="array" ref="O36">IF(O8="T",INDEX(G84:G100,MATCH(TRUE,E84:E100&gt;=O67,0)),IF(O8="W",INDEX(N84:N100,MATCH(TRUE,L84:L100&gt;=O67,0)),IF(O8="H",INDEX(U84:U103,MATCH(TRUE,S84:S103&gt;=O67,0)),0)))</f>
        <v>6</v>
      </c>
      <c r="P36" s="291">
        <f t="array" ref="P36">IF(O8="T",INDEX(F84:F100,MATCH(TRUE,E84:E100&gt;=O67,0)),IF(O8="W",INDEX(M84:M100,MATCH(TRUE,L84:L100&gt;=O67,0)),IF(O8="H",INDEX(T84:T103,MATCH(TRUE,S84:S103&gt;=O67,0)),0)))</f>
        <v>3</v>
      </c>
      <c r="Q36" s="262">
        <f>'Wyniki graficzne wiatr I'!Q32</f>
        <v>8</v>
      </c>
      <c r="R36" s="244"/>
    </row>
    <row r="37" spans="5:21" ht="15" customHeight="1" x14ac:dyDescent="0.25">
      <c r="E37" s="244"/>
      <c r="F37" s="260"/>
      <c r="G37" s="262"/>
      <c r="H37" s="291"/>
      <c r="I37" s="290"/>
      <c r="J37" s="271"/>
      <c r="K37" s="287"/>
      <c r="L37" s="77"/>
      <c r="M37" s="78"/>
      <c r="N37" s="79"/>
      <c r="O37" s="289"/>
      <c r="P37" s="291"/>
      <c r="Q37" s="262"/>
      <c r="R37" s="244"/>
    </row>
    <row r="38" spans="5:21" ht="15" customHeight="1" x14ac:dyDescent="0.25">
      <c r="E38" s="244"/>
      <c r="F38" s="260"/>
      <c r="G38" s="262"/>
      <c r="H38" s="291"/>
      <c r="I38" s="290"/>
      <c r="J38" s="271"/>
      <c r="K38" s="287"/>
      <c r="L38" s="77"/>
      <c r="M38" s="78"/>
      <c r="N38" s="79"/>
      <c r="O38" s="289"/>
      <c r="P38" s="291"/>
      <c r="Q38" s="262"/>
      <c r="R38" s="244"/>
    </row>
    <row r="39" spans="5:21" ht="15" customHeight="1" x14ac:dyDescent="0.25">
      <c r="E39" s="244"/>
      <c r="F39" s="260"/>
      <c r="G39" s="262"/>
      <c r="H39" s="291"/>
      <c r="I39" s="290"/>
      <c r="J39" s="80"/>
      <c r="K39" s="287"/>
      <c r="L39" s="77"/>
      <c r="M39" s="78"/>
      <c r="N39" s="79"/>
      <c r="O39" s="289"/>
      <c r="P39" s="291"/>
      <c r="Q39" s="262"/>
      <c r="R39" s="244"/>
    </row>
    <row r="40" spans="5:21" ht="15" customHeight="1" x14ac:dyDescent="0.25">
      <c r="E40" s="244"/>
      <c r="F40" s="260"/>
      <c r="G40" s="262">
        <f>'Wyniki graficzne wiatr I'!G36</f>
        <v>2</v>
      </c>
      <c r="H40" s="291">
        <f t="array" ref="H40">IF(O8="T",INDEX(F84:F100,MATCH(TRUE,E84:E100&gt;=I68,0)),IF(O8="W",INDEX(M84:M100,MATCH(TRUE,L84:L100&gt;=I68,0)),IF(O8="H",INDEX(T84:T103,MATCH(TRUE,S84:S103&gt;=I68,0)),0)))</f>
        <v>5</v>
      </c>
      <c r="I40" s="290">
        <f t="array" ref="I40">IF(O8="T",INDEX(G84:G100,MATCH(TRUE,E84:E100&gt;=I68,0)),IF(O8="W",INDEX(N84:N100,MATCH(TRUE,L84:L100&gt;=I68,0)),IF(O8="H",INDEX(U84:U103,MATCH(TRUE,S84:S103&gt;=I68,0)),0)))</f>
        <v>8</v>
      </c>
      <c r="J40" s="80"/>
      <c r="K40" s="287"/>
      <c r="L40" s="77"/>
      <c r="M40" s="78"/>
      <c r="N40" s="79"/>
      <c r="O40" s="289">
        <f t="array" ref="O40">IF(O8="T",INDEX(G84:G100,MATCH(TRUE,E84:E100&gt;=O68,0)),IF(O8="W",INDEX(N84:N100,MATCH(TRUE,L84:L100&gt;=O68,0)),IF(O8="H",INDEX(U84:U103,MATCH(TRUE,S84:S103&gt;=O68,0)),0)))</f>
        <v>8</v>
      </c>
      <c r="P40" s="291">
        <f t="array" ref="P40">IF(O8="T",INDEX(F84:F100,MATCH(TRUE,E84:E100&gt;=O68,0)),IF(O8="W",INDEX(M84:M100,MATCH(TRUE,L84:L100&gt;=O68,0)),IF(O8="H",INDEX(T84:T103,MATCH(TRUE,S84:S103&gt;=O68,0)),0)))</f>
        <v>5</v>
      </c>
      <c r="Q40" s="262">
        <f>'Wyniki graficzne wiatr I'!Q36</f>
        <v>2</v>
      </c>
      <c r="R40" s="244"/>
    </row>
    <row r="41" spans="5:21" ht="15" customHeight="1" x14ac:dyDescent="0.25">
      <c r="E41" s="244"/>
      <c r="F41" s="260"/>
      <c r="G41" s="262"/>
      <c r="H41" s="291"/>
      <c r="I41" s="290"/>
      <c r="J41" s="271"/>
      <c r="K41" s="287"/>
      <c r="L41" s="77"/>
      <c r="M41" s="78"/>
      <c r="N41" s="79"/>
      <c r="O41" s="289"/>
      <c r="P41" s="291"/>
      <c r="Q41" s="262"/>
      <c r="R41" s="244"/>
    </row>
    <row r="42" spans="5:21" ht="15" customHeight="1" x14ac:dyDescent="0.25">
      <c r="E42" s="244"/>
      <c r="F42" s="260"/>
      <c r="G42" s="262"/>
      <c r="H42" s="291"/>
      <c r="I42" s="290"/>
      <c r="J42" s="271"/>
      <c r="K42" s="287"/>
      <c r="L42" s="77"/>
      <c r="M42" s="78"/>
      <c r="N42" s="79"/>
      <c r="O42" s="289"/>
      <c r="P42" s="291"/>
      <c r="Q42" s="262"/>
      <c r="R42" s="244"/>
    </row>
    <row r="43" spans="5:21" ht="15.75" customHeight="1" thickBot="1" x14ac:dyDescent="0.3">
      <c r="E43" s="244"/>
      <c r="F43" s="260"/>
      <c r="G43" s="262"/>
      <c r="H43" s="291"/>
      <c r="I43" s="290"/>
      <c r="J43" s="83"/>
      <c r="K43" s="84"/>
      <c r="L43" s="88" t="s">
        <v>100</v>
      </c>
      <c r="M43" s="84"/>
      <c r="N43" s="85"/>
      <c r="O43" s="289"/>
      <c r="P43" s="291"/>
      <c r="Q43" s="262"/>
      <c r="R43" s="244"/>
    </row>
    <row r="44" spans="5:21" ht="15.75" customHeight="1" thickTop="1" x14ac:dyDescent="0.25">
      <c r="H44" s="191"/>
      <c r="I44" s="292" t="s">
        <v>269</v>
      </c>
      <c r="J44" s="295">
        <f t="array" ref="J44">IF(O8="T",INDEX(G84:G100,MATCH(TRUE,E84:E100&gt;=J69,0)),IF(O8="W",INDEX(N84:N100,MATCH(TRUE,L84:L100&gt;=J69,0)),IF(O8="H",INDEX(U84:U103,MATCH(TRUE,S84:S103&gt;=J69,0)),0)))</f>
        <v>8</v>
      </c>
      <c r="K44" s="295">
        <f t="array" ref="K44">IF(O8="T",INDEX(G84:G100,MATCH(TRUE,E84:E100&gt;=K69,0)),IF(O8="W",INDEX(N84:N100,MATCH(TRUE,L84:L100&gt;=K69,0)),IF(O8="H",INDEX(U84:U103,MATCH(TRUE,S84:S103&gt;=K69,0)),0)))</f>
        <v>8</v>
      </c>
      <c r="L44" s="295">
        <f t="array" ref="L44">IF(O8="T",INDEX(G84:G100,MATCH(TRUE,E84:E100&gt;=L69,0)),IF(O8="W",INDEX(N84:N100,MATCH(TRUE,L84:L100&gt;=L69,0)),IF(O8="H",INDEX(U84:U103,MATCH(TRUE,S84:S103&gt;=L69,0)),0)))</f>
        <v>8</v>
      </c>
      <c r="M44" s="295">
        <f t="array" ref="M44">IF(O8="T",INDEX(G84:G100,MATCH(TRUE,E84:E100&gt;=M69,0)),IF(O8="W",INDEX(N84:N100,MATCH(TRUE,L84:L100&gt;=M69,0)),IF(O8="H",INDEX(U84:U103,MATCH(TRUE,S84:S103&gt;=M69,0)),0)))</f>
        <v>8</v>
      </c>
      <c r="N44" s="295">
        <f t="array" ref="N44">IF(O8="T",INDEX(G84:G100,MATCH(TRUE,E84:E100&gt;=N69,0)),IF(O8="W",INDEX(N84:N100,MATCH(TRUE,L84:L100&gt;=N69,0)),IF(O8="H",INDEX(U84:U103,MATCH(TRUE,S84:S103&gt;=N69,0)),0)))</f>
        <v>8</v>
      </c>
      <c r="O44" s="187"/>
      <c r="P44" s="185"/>
    </row>
    <row r="45" spans="5:21" ht="15" customHeight="1" x14ac:dyDescent="0.25">
      <c r="I45" s="292"/>
      <c r="J45" s="296"/>
      <c r="K45" s="296"/>
      <c r="L45" s="296"/>
      <c r="M45" s="296"/>
      <c r="N45" s="296"/>
      <c r="O45" s="188"/>
    </row>
    <row r="46" spans="5:21" ht="15" customHeight="1" x14ac:dyDescent="0.25">
      <c r="I46" s="292"/>
      <c r="J46" s="296"/>
      <c r="K46" s="296"/>
      <c r="L46" s="296"/>
      <c r="M46" s="296"/>
      <c r="N46" s="296"/>
      <c r="O46" s="188"/>
    </row>
    <row r="47" spans="5:21" ht="15" customHeight="1" x14ac:dyDescent="0.25">
      <c r="I47" s="292" t="s">
        <v>264</v>
      </c>
      <c r="J47" s="291">
        <f t="array" ref="J47">IF(O8="T",INDEX(F84:F100,MATCH(TRUE,E84:E100&gt;=J69,0)),IF(O8="W",INDEX(M84:M100,MATCH(TRUE,L84:L100&gt;=J69,0)),IF(O8="H",INDEX(T84:T103,MATCH(TRUE,S84:S103&gt;=J69,0)),0)))</f>
        <v>5</v>
      </c>
      <c r="K47" s="291">
        <f t="array" ref="K47">IF(O8="T",INDEX(F84:F100,MATCH(TRUE,E84:E100&gt;=K69,0)),IF(O8="W",INDEX(M84:M100,MATCH(TRUE,L84:L100&gt;=K69,0)),IF(O8="H",INDEX(T84:T103,MATCH(TRUE,S84:S103&gt;=K69,0)),0)))</f>
        <v>5</v>
      </c>
      <c r="L47" s="298">
        <f t="array" ref="L47">IF(O8="T",INDEX(F84:F100,MATCH(TRUE,E84:E100&gt;=L69,0)),IF(O8="W",INDEX(M84:M100,MATCH(TRUE,L84:L100&gt;=L69,0)),IF(O8="H",INDEX(T84:T103,MATCH(TRUE,S84:S103&gt;=L69,0)),0)))</f>
        <v>5</v>
      </c>
      <c r="M47" s="291">
        <f t="array" ref="M47">IF(O8="T",INDEX(F84:F100,MATCH(TRUE,E84:E100&gt;=M69,0)),IF(O8="W",INDEX(M84:M100,MATCH(TRUE,L84:L100&gt;=M69,0)),IF(O8="H",INDEX(T84:T103,MATCH(TRUE,S84:S103&gt;=M69,0)),0)))</f>
        <v>5</v>
      </c>
      <c r="N47" s="291">
        <f t="array" ref="N47">IF(O8="T",INDEX(F84:F100,MATCH(TRUE,E84:E100&gt;=N69,0)),IF(O8="W",INDEX(M84:M100,MATCH(TRUE,L84:L100&gt;=N69,0)),IF(O8="H",INDEX(T84:T103,MATCH(TRUE,S84:S103&gt;=N69,0)),0)))</f>
        <v>5</v>
      </c>
      <c r="O47" s="188"/>
    </row>
    <row r="48" spans="5:21" ht="15" customHeight="1" x14ac:dyDescent="0.25">
      <c r="I48" s="292"/>
      <c r="J48" s="291"/>
      <c r="K48" s="291"/>
      <c r="L48" s="298"/>
      <c r="M48" s="291"/>
      <c r="N48" s="291"/>
      <c r="O48" s="188"/>
    </row>
    <row r="49" spans="9:15" x14ac:dyDescent="0.25">
      <c r="I49" s="297" t="s">
        <v>180</v>
      </c>
      <c r="J49" s="262" t="str">
        <f>'Wyniki graficzne wiatr I'!J45</f>
        <v/>
      </c>
      <c r="K49" s="262" t="str">
        <f>'Wyniki graficzne wiatr I'!K45</f>
        <v/>
      </c>
      <c r="L49" s="262" t="str">
        <f>'Wyniki graficzne wiatr I'!L45</f>
        <v/>
      </c>
      <c r="M49" s="262" t="str">
        <f>'Wyniki graficzne wiatr I'!M45</f>
        <v/>
      </c>
      <c r="N49" s="262">
        <f>'Wyniki graficzne wiatr I'!N45</f>
        <v>10</v>
      </c>
    </row>
    <row r="50" spans="9:15" x14ac:dyDescent="0.25">
      <c r="I50" s="297"/>
      <c r="J50" s="262"/>
      <c r="K50" s="262"/>
      <c r="L50" s="262"/>
      <c r="M50" s="262"/>
      <c r="N50" s="262"/>
    </row>
    <row r="51" spans="9:15" x14ac:dyDescent="0.25">
      <c r="I51" s="297"/>
      <c r="J51" s="262"/>
      <c r="K51" s="262"/>
      <c r="L51" s="262"/>
      <c r="M51" s="262"/>
      <c r="N51" s="262"/>
    </row>
    <row r="52" spans="9:15" x14ac:dyDescent="0.25">
      <c r="I52" s="297"/>
      <c r="J52" s="262"/>
      <c r="K52" s="262"/>
      <c r="L52" s="262"/>
      <c r="M52" s="262"/>
      <c r="N52" s="262"/>
    </row>
    <row r="53" spans="9:15" ht="15" customHeight="1" x14ac:dyDescent="0.25">
      <c r="I53" s="86"/>
      <c r="J53" s="262" t="str">
        <f>TEXT(N75+N76+N77,"####0,0##")&amp;" m"</f>
        <v>10,0 m</v>
      </c>
      <c r="K53" s="262"/>
      <c r="L53" s="262"/>
      <c r="M53" s="262"/>
      <c r="N53" s="262"/>
      <c r="O53" s="86"/>
    </row>
    <row r="54" spans="9:15" ht="15" customHeight="1" x14ac:dyDescent="0.25">
      <c r="I54" s="86"/>
      <c r="J54" s="262"/>
      <c r="K54" s="262"/>
      <c r="L54" s="262"/>
      <c r="M54" s="262"/>
      <c r="N54" s="262"/>
      <c r="O54" s="86"/>
    </row>
    <row r="55" spans="9:15" ht="15" customHeight="1" x14ac:dyDescent="0.25">
      <c r="I55" s="86"/>
      <c r="J55" s="262"/>
      <c r="K55" s="262"/>
      <c r="L55" s="262"/>
      <c r="M55" s="262"/>
      <c r="N55" s="262"/>
      <c r="O55" s="86"/>
    </row>
    <row r="56" spans="9:15" ht="15" customHeight="1" x14ac:dyDescent="0.25">
      <c r="I56" s="86"/>
      <c r="J56" s="282" t="str">
        <f>"Wysokość  ze = "&amp;TEXT('Obliczenia wiatr I'!D46,"####0,0##")&amp;" m"</f>
        <v>Wysokość  ze = 25,0 m</v>
      </c>
      <c r="K56" s="282"/>
      <c r="L56" s="282"/>
      <c r="M56" s="282"/>
      <c r="N56" s="282"/>
      <c r="O56" s="86"/>
    </row>
    <row r="57" spans="9:15" ht="15" customHeight="1" x14ac:dyDescent="0.25">
      <c r="I57" s="86"/>
      <c r="J57" s="282"/>
      <c r="K57" s="282"/>
      <c r="L57" s="282"/>
      <c r="M57" s="282"/>
      <c r="N57" s="282"/>
      <c r="O57" s="86"/>
    </row>
    <row r="58" spans="9:15" ht="15" customHeight="1" x14ac:dyDescent="0.25">
      <c r="I58" s="86"/>
      <c r="J58" s="282"/>
      <c r="K58" s="282"/>
      <c r="L58" s="282"/>
      <c r="M58" s="282"/>
      <c r="N58" s="282"/>
      <c r="O58" s="86"/>
    </row>
    <row r="61" spans="9:15" x14ac:dyDescent="0.25">
      <c r="J61" s="293" t="s">
        <v>267</v>
      </c>
      <c r="K61" s="293"/>
      <c r="L61" s="293"/>
      <c r="M61" s="293"/>
      <c r="N61" s="293"/>
    </row>
    <row r="63" spans="9:15" x14ac:dyDescent="0.25">
      <c r="J63" s="6">
        <f>(1-O10/100)*'Wyniki graficzne wiatr I'!J15</f>
        <v>2.0750843044738478</v>
      </c>
      <c r="K63" s="6">
        <f>(1-O10/100)*'Wyniki graficzne wiatr I'!K15</f>
        <v>2.0750843044738478</v>
      </c>
      <c r="L63" s="6">
        <f>(1-O10/100)*'Wyniki graficzne wiatr I'!L15</f>
        <v>2.0750843044738478</v>
      </c>
      <c r="M63" s="6">
        <f>(1-O10/100)*'Wyniki graficzne wiatr I'!M15</f>
        <v>2.0750843044738478</v>
      </c>
      <c r="N63" s="6">
        <f>(1-O10/100)*'Wyniki graficzne wiatr I'!N15</f>
        <v>2.0750843044738478</v>
      </c>
    </row>
    <row r="64" spans="9:15" x14ac:dyDescent="0.25">
      <c r="I64" s="6">
        <f>(1-O10/100)*'Wyniki graficzne wiatr I'!H20</f>
        <v>2.0750843044738478</v>
      </c>
      <c r="O64" s="6">
        <f>(1-O10/100)*'Wyniki graficzne wiatr I'!O20</f>
        <v>2.0750843044738478</v>
      </c>
    </row>
    <row r="65" spans="2:21" x14ac:dyDescent="0.25">
      <c r="I65" s="6">
        <f>(1-O10/100)*'Wyniki graficzne wiatr I'!H24</f>
        <v>1.6304233820865948</v>
      </c>
      <c r="O65" s="6">
        <f>(1-O10/100)*'Wyniki graficzne wiatr I'!O24</f>
        <v>1.6304233820865948</v>
      </c>
    </row>
    <row r="66" spans="2:21" x14ac:dyDescent="0.25">
      <c r="I66" s="6">
        <f>(1-O10/100)*'Wyniki graficzne wiatr I'!H28</f>
        <v>0.85226676790890177</v>
      </c>
      <c r="O66" s="6">
        <f>(1-O10/100)*'Wyniki graficzne wiatr I'!O28</f>
        <v>0.85226676790890177</v>
      </c>
    </row>
    <row r="67" spans="2:21" x14ac:dyDescent="0.25">
      <c r="I67" s="6">
        <f>(1-O10/100)*'Wyniki graficzne wiatr I'!H32</f>
        <v>1.6304233820865948</v>
      </c>
      <c r="O67" s="6">
        <f>(1-O10/100)*'Wyniki graficzne wiatr I'!O32</f>
        <v>1.6304233820865948</v>
      </c>
    </row>
    <row r="68" spans="2:21" x14ac:dyDescent="0.25">
      <c r="I68" s="6">
        <f>(1-O10/100)*'Wyniki graficzne wiatr I'!H36</f>
        <v>2.0750843044738478</v>
      </c>
      <c r="O68" s="6">
        <f>(1-O10/100)*'Wyniki graficzne wiatr I'!O36</f>
        <v>2.0750843044738478</v>
      </c>
    </row>
    <row r="69" spans="2:21" x14ac:dyDescent="0.25">
      <c r="J69" s="6">
        <f>(1-O10/100)*'Wyniki graficzne wiatr I'!J40</f>
        <v>2.0750843044738478</v>
      </c>
      <c r="K69" s="6">
        <f>(1-O10/100)*'Wyniki graficzne wiatr I'!K40</f>
        <v>2.0750843044738478</v>
      </c>
      <c r="L69" s="6">
        <f>(1-O10/100)*'Wyniki graficzne wiatr I'!L40</f>
        <v>2.0750843044738478</v>
      </c>
      <c r="M69" s="6">
        <f>(1-O10/100)*'Wyniki graficzne wiatr I'!M40</f>
        <v>2.0750843044738478</v>
      </c>
      <c r="N69" s="6">
        <f>(1-O10/100)*'Wyniki graficzne wiatr I'!N40</f>
        <v>2.0750843044738478</v>
      </c>
    </row>
    <row r="71" spans="2:21" x14ac:dyDescent="0.25">
      <c r="B71" s="158"/>
      <c r="H71" s="29"/>
      <c r="I71" s="29"/>
      <c r="J71" s="29"/>
      <c r="K71" s="29"/>
      <c r="L71" s="29"/>
      <c r="M71" s="29"/>
    </row>
    <row r="72" spans="2:21" x14ac:dyDescent="0.25">
      <c r="J72" s="294" t="s">
        <v>96</v>
      </c>
      <c r="K72" s="294"/>
      <c r="L72" s="294"/>
      <c r="M72" s="294"/>
      <c r="N72" s="294"/>
    </row>
    <row r="74" spans="2:21" x14ac:dyDescent="0.25">
      <c r="H74" s="16"/>
      <c r="K74" s="13" t="s">
        <v>97</v>
      </c>
      <c r="L74" s="19" t="s">
        <v>98</v>
      </c>
      <c r="M74" s="13" t="s">
        <v>99</v>
      </c>
      <c r="N74" s="13" t="s">
        <v>100</v>
      </c>
    </row>
    <row r="75" spans="2:21" x14ac:dyDescent="0.25">
      <c r="H75" s="16"/>
      <c r="J75" s="13" t="s">
        <v>101</v>
      </c>
      <c r="K75">
        <f>'Obliczenia wiatr I'!C31</f>
        <v>2</v>
      </c>
      <c r="L75">
        <f>'Obliczenia wiatr I'!D31</f>
        <v>5.6</v>
      </c>
      <c r="M75">
        <f>'Obliczenia wiatr I'!C31</f>
        <v>2</v>
      </c>
      <c r="N75">
        <f>'Obliczenia wiatr I'!D31</f>
        <v>5.6</v>
      </c>
      <c r="R75" s="16"/>
      <c r="S75" s="16"/>
      <c r="T75" s="16"/>
      <c r="U75" s="16"/>
    </row>
    <row r="76" spans="2:21" x14ac:dyDescent="0.25">
      <c r="H76" s="16"/>
      <c r="J76" s="13" t="s">
        <v>102</v>
      </c>
      <c r="K76">
        <f>'Obliczenia wiatr I'!C32</f>
        <v>8</v>
      </c>
      <c r="L76">
        <f>'Obliczenia wiatr I'!D32</f>
        <v>4.4000000000000004</v>
      </c>
      <c r="M76">
        <f>'Obliczenia wiatr I'!C32</f>
        <v>8</v>
      </c>
      <c r="N76">
        <f>'Obliczenia wiatr I'!D32</f>
        <v>4.4000000000000004</v>
      </c>
      <c r="R76" s="16"/>
      <c r="S76" s="16"/>
      <c r="T76" s="16"/>
      <c r="U76" s="16"/>
    </row>
    <row r="77" spans="2:21" x14ac:dyDescent="0.25">
      <c r="H77" s="16"/>
      <c r="J77" s="13" t="s">
        <v>103</v>
      </c>
      <c r="K77" s="18">
        <f>'Obliczenia wiatr I'!C33</f>
        <v>18</v>
      </c>
      <c r="L77" s="18">
        <f>'Obliczenia wiatr I'!D33</f>
        <v>0</v>
      </c>
      <c r="M77" s="18">
        <f>'Obliczenia wiatr I'!C33</f>
        <v>18</v>
      </c>
      <c r="N77" s="18">
        <f>'Obliczenia wiatr I'!D33</f>
        <v>0</v>
      </c>
    </row>
    <row r="78" spans="2:21" x14ac:dyDescent="0.25">
      <c r="H78" s="16"/>
      <c r="J78" s="13"/>
    </row>
    <row r="79" spans="2:21" x14ac:dyDescent="0.25">
      <c r="H79" s="16"/>
      <c r="J79" s="13" t="s">
        <v>104</v>
      </c>
      <c r="K79" s="18">
        <f>'Obliczenia wiatr I'!C25</f>
        <v>10</v>
      </c>
      <c r="L79" s="18">
        <f>'Obliczenia wiatr I'!D25</f>
        <v>28</v>
      </c>
      <c r="M79" s="18">
        <f>'Obliczenia wiatr I'!C25</f>
        <v>10</v>
      </c>
      <c r="N79" s="18">
        <f>'Obliczenia wiatr I'!D25</f>
        <v>28</v>
      </c>
    </row>
    <row r="81" spans="2:21" x14ac:dyDescent="0.25">
      <c r="B81" s="293" t="s">
        <v>268</v>
      </c>
      <c r="C81" s="293"/>
      <c r="D81" s="293"/>
      <c r="E81" s="293"/>
      <c r="F81" s="293"/>
      <c r="G81" s="293"/>
      <c r="I81" s="293" t="s">
        <v>270</v>
      </c>
      <c r="J81" s="293"/>
      <c r="K81" s="293"/>
      <c r="L81" s="293"/>
      <c r="M81" s="293"/>
      <c r="N81" s="293"/>
      <c r="P81" s="293" t="s">
        <v>271</v>
      </c>
      <c r="Q81" s="293"/>
      <c r="R81" s="293"/>
      <c r="S81" s="293"/>
      <c r="T81" s="293"/>
      <c r="U81" s="293"/>
    </row>
    <row r="83" spans="2:21" x14ac:dyDescent="0.25">
      <c r="B83" t="s">
        <v>264</v>
      </c>
      <c r="C83" t="s">
        <v>265</v>
      </c>
      <c r="D83" t="s">
        <v>266</v>
      </c>
      <c r="E83" t="s">
        <v>266</v>
      </c>
      <c r="F83" t="s">
        <v>264</v>
      </c>
      <c r="G83" t="s">
        <v>265</v>
      </c>
      <c r="I83" t="s">
        <v>264</v>
      </c>
      <c r="J83" t="s">
        <v>265</v>
      </c>
      <c r="K83" t="s">
        <v>266</v>
      </c>
      <c r="L83" t="s">
        <v>266</v>
      </c>
      <c r="M83" t="s">
        <v>264</v>
      </c>
      <c r="N83" t="s">
        <v>265</v>
      </c>
      <c r="P83" t="s">
        <v>264</v>
      </c>
      <c r="Q83" t="s">
        <v>265</v>
      </c>
      <c r="R83" t="s">
        <v>266</v>
      </c>
      <c r="S83" t="s">
        <v>266</v>
      </c>
      <c r="T83" t="s">
        <v>264</v>
      </c>
      <c r="U83" t="s">
        <v>265</v>
      </c>
    </row>
    <row r="84" spans="2:21" x14ac:dyDescent="0.25">
      <c r="B84">
        <v>1</v>
      </c>
      <c r="C84" s="2">
        <f>'Obliczenia nośności T'!$D$13</f>
        <v>4</v>
      </c>
      <c r="D84" s="2">
        <f>IF($C$84&lt;$O$9,0,'Obliczenia nośności T'!$D$29)</f>
        <v>0</v>
      </c>
      <c r="E84" s="2">
        <f>SMALL(D84:D100,1)</f>
        <v>0</v>
      </c>
      <c r="F84">
        <f>INDEX(B84:B100,MATCH(E84,D84:D100,))</f>
        <v>1</v>
      </c>
      <c r="G84" s="18">
        <f>INDEX(C84:C100,MATCH(E84,D84:D100,))</f>
        <v>4</v>
      </c>
      <c r="I84">
        <v>1</v>
      </c>
      <c r="J84" s="2">
        <f>'Obliczenia nośności W'!$D$13</f>
        <v>3.3333333333333335</v>
      </c>
      <c r="K84" s="2">
        <f>IF($J$84&lt;$O$9,0,'Obliczenia nośności W'!$D$29)</f>
        <v>0</v>
      </c>
      <c r="L84" s="2">
        <f>SMALL(K84:K100,1)</f>
        <v>0</v>
      </c>
      <c r="M84">
        <f>INDEX(I84:I100,MATCH(L84,K84:K100,))</f>
        <v>1</v>
      </c>
      <c r="N84" s="18">
        <f>INDEX(J84:J100,MATCH(L84,K84:K100,))</f>
        <v>3.3333333333333335</v>
      </c>
      <c r="P84">
        <v>1</v>
      </c>
      <c r="Q84" s="2">
        <f>'Obliczenia nośności H'!$D$27</f>
        <v>4.166666666666667</v>
      </c>
      <c r="R84" s="2">
        <f>IF($Q$84&lt;$O$9,0,'Obliczenia nośności H'!$D$43)</f>
        <v>0</v>
      </c>
      <c r="S84" s="2">
        <f>SMALL(R84:R103,1)</f>
        <v>0</v>
      </c>
      <c r="T84">
        <f>INDEX(P84:P103,MATCH(S84,R84:R103,))</f>
        <v>1</v>
      </c>
      <c r="U84" s="18">
        <f>INDEX(Q84:Q103,MATCH(S84,R84:R103,))</f>
        <v>4.166666666666667</v>
      </c>
    </row>
    <row r="85" spans="2:21" x14ac:dyDescent="0.25">
      <c r="B85">
        <v>2</v>
      </c>
      <c r="C85" s="2">
        <f>'Obliczenia nośności T'!$E$13</f>
        <v>5</v>
      </c>
      <c r="D85" s="2">
        <f>IF($C$85&lt;$O$9,0,'Obliczenia nośności T'!$E$29)</f>
        <v>1.36</v>
      </c>
      <c r="E85" s="2">
        <f>SMALL(D84:D100,2)</f>
        <v>1.36</v>
      </c>
      <c r="F85">
        <f>INDEX(B84:B100,MATCH(E85,D84:D100,))</f>
        <v>2</v>
      </c>
      <c r="G85" s="18">
        <f>INDEX(C84:C100,MATCH(E85,D84:D100,))</f>
        <v>5</v>
      </c>
      <c r="I85">
        <v>2</v>
      </c>
      <c r="J85" s="2">
        <f>'Obliczenia nośności W'!$E$13</f>
        <v>4.166666666666667</v>
      </c>
      <c r="K85" s="2">
        <f>IF($J$85&lt;$O$9,0,'Obliczenia nośności W'!$E$29)</f>
        <v>0</v>
      </c>
      <c r="L85" s="2">
        <f>SMALL(K84:K100,2)</f>
        <v>0</v>
      </c>
      <c r="M85">
        <f>INDEX(I84:I100,MATCH(L85,K84:K100,))</f>
        <v>1</v>
      </c>
      <c r="N85" s="18">
        <f>INDEX(J84:J100,MATCH(L85,K84:K100,))</f>
        <v>3.3333333333333335</v>
      </c>
      <c r="P85">
        <v>2</v>
      </c>
      <c r="Q85" s="2">
        <f>'Obliczenia nośności H'!$E$27</f>
        <v>5.2083333333333339</v>
      </c>
      <c r="R85" s="2">
        <f>IF($Q$85&lt;$O$9,0,'Obliczenia nośności H'!$E$43)</f>
        <v>1.484375</v>
      </c>
      <c r="S85" s="2">
        <f>SMALL(R84:R103,2)</f>
        <v>0</v>
      </c>
      <c r="T85">
        <f>INDEX(P84:P103,MATCH(S85,R84:R103,))</f>
        <v>1</v>
      </c>
      <c r="U85" s="18">
        <f>INDEX(Q84:Q103,MATCH(S85,R84:R103,))</f>
        <v>4.166666666666667</v>
      </c>
    </row>
    <row r="86" spans="2:21" x14ac:dyDescent="0.25">
      <c r="B86">
        <v>3</v>
      </c>
      <c r="C86" s="2">
        <f>'Obliczenia nośności T'!$F$13</f>
        <v>6</v>
      </c>
      <c r="D86" s="2">
        <f>IF($C$86&lt;$O$9,0,'Obliczenia nośności T'!$F$29)</f>
        <v>1.6800000000000002</v>
      </c>
      <c r="E86" s="2">
        <f>SMALL(D84:D100,3)</f>
        <v>1.6800000000000002</v>
      </c>
      <c r="F86">
        <f>INDEX(B84:B100,MATCH(E86,D84:D100,))</f>
        <v>3</v>
      </c>
      <c r="G86" s="18">
        <f>INDEX(C84:C100,MATCH(E86,D84:D100,))</f>
        <v>6</v>
      </c>
      <c r="I86">
        <v>3</v>
      </c>
      <c r="J86" s="2">
        <f>'Obliczenia nośności W'!$F$13</f>
        <v>5</v>
      </c>
      <c r="K86" s="2">
        <f>IF($J$86&lt;$O$9,0,'Obliczenia nośności W'!$F$29)</f>
        <v>0.92500000000000004</v>
      </c>
      <c r="L86" s="2">
        <f>SMALL(K84:K100,3)</f>
        <v>0</v>
      </c>
      <c r="M86">
        <f>INDEX(I84:I100,MATCH(L86,K84:K100,))</f>
        <v>1</v>
      </c>
      <c r="N86" s="18">
        <f>INDEX(J84:J100,MATCH(L86,K84:K100,))</f>
        <v>3.3333333333333335</v>
      </c>
      <c r="P86">
        <v>3</v>
      </c>
      <c r="Q86" s="2">
        <f>'Obliczenia nośności H'!$F$27</f>
        <v>6.25</v>
      </c>
      <c r="R86" s="2">
        <f>IF($Q$86&lt;$O$9,0,'Obliczenia nośności H'!$F$43)</f>
        <v>1.78125</v>
      </c>
      <c r="S86" s="2">
        <f>SMALL(R84:R103,3)</f>
        <v>1.484375</v>
      </c>
      <c r="T86">
        <f>INDEX(P84:P103,MATCH(S86,R84:R103,))</f>
        <v>2</v>
      </c>
      <c r="U86" s="18">
        <f>INDEX(Q84:Q103,MATCH(S86,R84:R103,))</f>
        <v>5.2083333333333339</v>
      </c>
    </row>
    <row r="87" spans="2:21" x14ac:dyDescent="0.25">
      <c r="B87">
        <v>4</v>
      </c>
      <c r="C87" s="2">
        <f>'Obliczenia nośności T'!$G$13</f>
        <v>7</v>
      </c>
      <c r="D87" s="2">
        <f>IF($C$87&lt;$O$9,0,'Obliczenia nośności T'!$G$29)</f>
        <v>2</v>
      </c>
      <c r="E87" s="2">
        <f>SMALL(D84:D100,4)</f>
        <v>2</v>
      </c>
      <c r="F87">
        <f>INDEX(B84:B100,MATCH(E87,D84:D100,))</f>
        <v>4</v>
      </c>
      <c r="G87" s="18">
        <f>INDEX(C84:C100,MATCH(E87,D84:D100,))</f>
        <v>7</v>
      </c>
      <c r="I87">
        <v>4</v>
      </c>
      <c r="J87" s="2">
        <f>'Obliczenia nośności W'!$G$13</f>
        <v>5.8333333333333339</v>
      </c>
      <c r="K87" s="2">
        <f>IF($J$87&lt;$O$9,0,'Obliczenia nośności W'!$G$29)</f>
        <v>1.0791666666666668</v>
      </c>
      <c r="L87" s="2">
        <f>SMALL(K84:K100,4)</f>
        <v>0.92500000000000004</v>
      </c>
      <c r="M87">
        <f>INDEX(I84:I100,MATCH(L87,K84:K100,))</f>
        <v>3</v>
      </c>
      <c r="N87" s="18">
        <f>INDEX(J84:J100,MATCH(L87,K84:K100,))</f>
        <v>5</v>
      </c>
      <c r="P87">
        <v>4</v>
      </c>
      <c r="Q87" s="2">
        <f>'Obliczenia nośności H'!$G$27</f>
        <v>7.291666666666667</v>
      </c>
      <c r="R87" s="2">
        <f>IF($Q$87&lt;$O$9,0,'Obliczenia nośności H'!$G$43)</f>
        <v>2.078125</v>
      </c>
      <c r="S87" s="2">
        <f>SMALL(R84:R103,4)</f>
        <v>1.7812499999999998</v>
      </c>
      <c r="T87">
        <f>INDEX(P84:P103,MATCH(S87,R84:R103,))</f>
        <v>14</v>
      </c>
      <c r="U87" s="18">
        <f>INDEX(Q84:Q103,MATCH(S87,R84:R103,))</f>
        <v>6.25</v>
      </c>
    </row>
    <row r="88" spans="2:21" x14ac:dyDescent="0.25">
      <c r="B88">
        <v>5</v>
      </c>
      <c r="C88" s="2">
        <f>'Obliczenia nośności T'!$H$13</f>
        <v>8</v>
      </c>
      <c r="D88" s="2">
        <f>IF($C$88&lt;$O$9,0,'Obliczenia nośności T'!$H$29)</f>
        <v>2.3200000000000003</v>
      </c>
      <c r="E88" s="2">
        <f>SMALL(D84:D100,5)</f>
        <v>2.3200000000000003</v>
      </c>
      <c r="F88">
        <f>INDEX(B84:B100,MATCH(E88,D84:D100,))</f>
        <v>5</v>
      </c>
      <c r="G88" s="18">
        <f>INDEX(C84:C100,MATCH(E88,D84:D100,))</f>
        <v>8</v>
      </c>
      <c r="I88">
        <v>5</v>
      </c>
      <c r="J88" s="2">
        <f>'Obliczenia nośności W'!$H$13</f>
        <v>6.666666666666667</v>
      </c>
      <c r="K88" s="2">
        <f>IF($J$88&lt;$O$9,0,'Obliczenia nośności W'!$H$29)</f>
        <v>1.2333333333333334</v>
      </c>
      <c r="L88" s="2">
        <f>SMALL(K84:K100,5)</f>
        <v>1.0791666666666668</v>
      </c>
      <c r="M88">
        <f>INDEX(I84:I100,MATCH(L88,K84:K100,))</f>
        <v>4</v>
      </c>
      <c r="N88" s="18">
        <f>INDEX(J84:J100,MATCH(L88,K84:K100,))</f>
        <v>5.8333333333333339</v>
      </c>
      <c r="P88">
        <v>5</v>
      </c>
      <c r="Q88" s="2">
        <f>'Obliczenia nośności H'!$H$27</f>
        <v>8.3333333333333339</v>
      </c>
      <c r="R88" s="2">
        <f>IF($Q$88&lt;$O$9,0,'Obliczenia nośności H'!$H$43)</f>
        <v>2.375</v>
      </c>
      <c r="S88" s="2">
        <f>SMALL(R84:R103,5)</f>
        <v>1.78125</v>
      </c>
      <c r="T88">
        <f>INDEX(P84:P103,MATCH(S88,R84:R103,))</f>
        <v>3</v>
      </c>
      <c r="U88" s="18">
        <f>INDEX(Q84:Q103,MATCH(S88,R84:R103,))</f>
        <v>6.25</v>
      </c>
    </row>
    <row r="89" spans="2:21" x14ac:dyDescent="0.25">
      <c r="B89">
        <v>6</v>
      </c>
      <c r="C89" s="2">
        <f>'Obliczenia nośności T'!$I$13</f>
        <v>9</v>
      </c>
      <c r="D89" s="2">
        <f>IF($C$89&lt;$O$9,0,'Obliczenia nośności T'!$I$29)</f>
        <v>2.64</v>
      </c>
      <c r="E89" s="2">
        <f>SMALL(D84:D100,6)</f>
        <v>2.64</v>
      </c>
      <c r="F89">
        <f>INDEX(B84:B100,MATCH(E89,D84:D100,))</f>
        <v>6</v>
      </c>
      <c r="G89" s="18">
        <f>INDEX(C84:C100,MATCH(E89,D84:D100,))</f>
        <v>9</v>
      </c>
      <c r="I89">
        <v>6</v>
      </c>
      <c r="J89" s="2">
        <f>'Obliczenia nośności W'!$I$13</f>
        <v>7.5</v>
      </c>
      <c r="K89" s="2">
        <f>IF($J$89&lt;$O$9,0,'Obliczenia nośności W'!$I$29)</f>
        <v>1.3875</v>
      </c>
      <c r="L89" s="2">
        <f>SMALL(K84:K100,6)</f>
        <v>1.2333333333333334</v>
      </c>
      <c r="M89">
        <f>INDEX(I84:I100,MATCH(L89,K84:K100,))</f>
        <v>5</v>
      </c>
      <c r="N89" s="18">
        <f>INDEX(J84:J100,MATCH(L89,K84:K100,))</f>
        <v>6.666666666666667</v>
      </c>
      <c r="P89">
        <v>6</v>
      </c>
      <c r="Q89" s="2">
        <f>'Obliczenia nośności H'!$I$27</f>
        <v>9.375</v>
      </c>
      <c r="R89" s="2">
        <f>IF($Q$89&lt;$O$9,0,'Obliczenia nośności H'!$I$43)</f>
        <v>2.671875</v>
      </c>
      <c r="S89" s="2">
        <f>SMALL(R84:R103,6)</f>
        <v>2.078125</v>
      </c>
      <c r="T89">
        <f>INDEX(P84:P103,MATCH(S89,R84:R103,))</f>
        <v>4</v>
      </c>
      <c r="U89" s="18">
        <f>INDEX(Q84:Q103,MATCH(S89,R84:R103,))</f>
        <v>7.291666666666667</v>
      </c>
    </row>
    <row r="90" spans="2:21" x14ac:dyDescent="0.25">
      <c r="B90">
        <v>7</v>
      </c>
      <c r="C90" s="2">
        <f>'Obliczenia nośności T'!$J$13</f>
        <v>10</v>
      </c>
      <c r="D90" s="2">
        <f>IF($C$90&lt;$O$9,0,'Obliczenia nośności T'!$J$29)</f>
        <v>2.96</v>
      </c>
      <c r="E90" s="2">
        <f>SMALL(D84:D100,7)</f>
        <v>2.84</v>
      </c>
      <c r="F90">
        <f>INDEX(B84:B100,MATCH(E90,D84:D100,))</f>
        <v>17</v>
      </c>
      <c r="G90" s="18">
        <f>INDEX(C84:C100,MATCH(E90,D84:D100,))</f>
        <v>10</v>
      </c>
      <c r="I90">
        <v>7</v>
      </c>
      <c r="J90" s="2">
        <f>'Obliczenia nośności W'!$J$13</f>
        <v>8.3333333333333339</v>
      </c>
      <c r="K90" s="2">
        <f>IF($J$90&lt;$O$9,0,'Obliczenia nośności W'!$J$29)</f>
        <v>1.5416666666666667</v>
      </c>
      <c r="L90" s="2">
        <f>SMALL(K84:K100,7)</f>
        <v>1.3875</v>
      </c>
      <c r="M90">
        <f>INDEX(I84:I100,MATCH(L90,K84:K100,))</f>
        <v>6</v>
      </c>
      <c r="N90" s="18">
        <f>INDEX(J84:J100,MATCH(L90,K84:K100,))</f>
        <v>7.5</v>
      </c>
      <c r="P90">
        <v>7</v>
      </c>
      <c r="Q90" s="2">
        <f>'Obliczenia nośności H'!$J$27</f>
        <v>10.416666666666668</v>
      </c>
      <c r="R90" s="2">
        <f>IF($Q$90&lt;$O$9,0,'Obliczenia nośności H'!$J$43)</f>
        <v>2.96875</v>
      </c>
      <c r="S90" s="2">
        <f>SMALL(R84:R103,7)</f>
        <v>2.375</v>
      </c>
      <c r="T90">
        <f>INDEX(P84:P103,MATCH(S90,R84:R103,))</f>
        <v>5</v>
      </c>
      <c r="U90" s="18">
        <f>INDEX(Q84:Q103,MATCH(S90,R84:R103,))</f>
        <v>8.3333333333333339</v>
      </c>
    </row>
    <row r="91" spans="2:21" x14ac:dyDescent="0.25">
      <c r="B91">
        <v>8</v>
      </c>
      <c r="C91" s="2">
        <f>'Obliczenia nośności T'!$K$13</f>
        <v>11</v>
      </c>
      <c r="D91" s="2">
        <f>IF($C$91&lt;$O$9,0,'Obliczenia nośności T'!$K$29)</f>
        <v>3.2800000000000002</v>
      </c>
      <c r="E91" s="2">
        <f>SMALL(D84:D100,8)</f>
        <v>2.96</v>
      </c>
      <c r="F91">
        <f>INDEX(B84:B100,MATCH(E91,D84:D100,))</f>
        <v>7</v>
      </c>
      <c r="G91" s="18">
        <f>INDEX(C84:C100,MATCH(E91,D84:D100,))</f>
        <v>10</v>
      </c>
      <c r="I91">
        <v>8</v>
      </c>
      <c r="J91" s="2">
        <f>'Obliczenia nośności W'!$K$13</f>
        <v>9.1666666666666679</v>
      </c>
      <c r="K91" s="2">
        <f>IF($J$91&lt;$O$9,0,'Obliczenia nośności W'!$K$29)</f>
        <v>1.6958333333333335</v>
      </c>
      <c r="L91" s="2">
        <f>SMALL(K84:K100,8)</f>
        <v>1.5416666666666667</v>
      </c>
      <c r="M91">
        <f>INDEX(I84:I100,MATCH(L91,K84:K100,))</f>
        <v>7</v>
      </c>
      <c r="N91" s="18">
        <f>INDEX(J84:J100,MATCH(L91,K84:K100,))</f>
        <v>8.3333333333333339</v>
      </c>
      <c r="P91">
        <v>8</v>
      </c>
      <c r="Q91" s="2">
        <f>'Obliczenia nośności H'!$K$27</f>
        <v>11.458333333333334</v>
      </c>
      <c r="R91" s="2">
        <f>IF($Q$91&lt;$O$9,0,'Obliczenia nośności H'!$K$43)</f>
        <v>3.265625</v>
      </c>
      <c r="S91" s="2">
        <f>SMALL(R84:R103,8)</f>
        <v>2.375</v>
      </c>
      <c r="T91">
        <f>INDEX(P84:P103,MATCH(S91,R84:R103,))</f>
        <v>5</v>
      </c>
      <c r="U91" s="18">
        <f>INDEX(Q84:Q103,MATCH(S91,R84:R103,))</f>
        <v>8.3333333333333339</v>
      </c>
    </row>
    <row r="92" spans="2:21" x14ac:dyDescent="0.25">
      <c r="B92">
        <v>9</v>
      </c>
      <c r="C92" s="2">
        <f>'Obliczenia nośności T'!$L$13</f>
        <v>12</v>
      </c>
      <c r="D92" s="2">
        <f>IF($C$92&lt;$O$9,0,'Obliczenia nośności T'!$L$29)</f>
        <v>3.6</v>
      </c>
      <c r="E92" s="2">
        <f>SMALL(D84:D100,9)</f>
        <v>3.2800000000000002</v>
      </c>
      <c r="F92">
        <f>INDEX(B84:B100,MATCH(E92,D84:D100,))</f>
        <v>8</v>
      </c>
      <c r="G92" s="18">
        <f>INDEX(C84:C100,MATCH(E92,D84:D100,))</f>
        <v>11</v>
      </c>
      <c r="I92">
        <v>9</v>
      </c>
      <c r="J92" s="2">
        <f>'Obliczenia nośności W'!$L$13</f>
        <v>10</v>
      </c>
      <c r="K92" s="2">
        <f>IF($J$92&lt;$O$9,0,'Obliczenia nośności W'!$L$29)</f>
        <v>1.85</v>
      </c>
      <c r="L92" s="2">
        <f>SMALL(K84:K100,9)</f>
        <v>1.6958333333333335</v>
      </c>
      <c r="M92">
        <f>INDEX(I84:I100,MATCH(L92,K84:K100,))</f>
        <v>8</v>
      </c>
      <c r="N92" s="18">
        <f>INDEX(J84:J100,MATCH(L92,K84:K100,))</f>
        <v>9.1666666666666679</v>
      </c>
      <c r="P92">
        <v>9</v>
      </c>
      <c r="Q92" s="2">
        <f>'Obliczenia nośności H'!$L$27</f>
        <v>12.5</v>
      </c>
      <c r="R92" s="2">
        <f>IF($Q$92&lt;$O$9,0,'Obliczenia nośności H'!$L$43)</f>
        <v>3.5625</v>
      </c>
      <c r="S92" s="2">
        <f>SMALL(R84:R103,9)</f>
        <v>2.671875</v>
      </c>
      <c r="T92">
        <f>INDEX(P84:P103,MATCH(S92,R84:R103,))</f>
        <v>6</v>
      </c>
      <c r="U92" s="18">
        <f>INDEX(Q84:Q103,MATCH(S92,R84:R103,))</f>
        <v>9.375</v>
      </c>
    </row>
    <row r="93" spans="2:21" x14ac:dyDescent="0.25">
      <c r="B93">
        <v>10</v>
      </c>
      <c r="C93" s="2">
        <f>'Obliczenia nośności T'!$M$13</f>
        <v>12</v>
      </c>
      <c r="D93" s="2">
        <f>IF($C$93&lt;$O$9,0,'Obliczenia nośności T'!$M$29)</f>
        <v>3.48</v>
      </c>
      <c r="E93" s="2">
        <f>SMALL(D84:D100,10)</f>
        <v>3.48</v>
      </c>
      <c r="F93">
        <f>INDEX(B84:B100,MATCH(E93,D84:D100,))</f>
        <v>10</v>
      </c>
      <c r="G93" s="18">
        <f>INDEX(C84:C100,MATCH(E93,D84:D100,))</f>
        <v>12</v>
      </c>
      <c r="I93">
        <v>10</v>
      </c>
      <c r="J93" s="2">
        <f>'Obliczenia nośności W'!$M$13</f>
        <v>10.833333333333334</v>
      </c>
      <c r="K93" s="2">
        <f>IF($J$93&lt;$O$9,0,'Obliczenia nośności W'!$M$29)</f>
        <v>2.0208333333333335</v>
      </c>
      <c r="L93" s="2">
        <f>SMALL(K84:K100,10)</f>
        <v>1.85</v>
      </c>
      <c r="M93">
        <f>INDEX(I84:I100,MATCH(L93,K84:K100,))</f>
        <v>9</v>
      </c>
      <c r="N93" s="18">
        <f>INDEX(J84:J100,MATCH(L93,K84:K100,))</f>
        <v>10</v>
      </c>
      <c r="P93">
        <v>10</v>
      </c>
      <c r="Q93" s="2">
        <f>'Obliczenia nośności H'!$M$27</f>
        <v>13.541666666666668</v>
      </c>
      <c r="R93" s="2">
        <f>IF($Q$93&lt;$O$9,0,'Obliczenia nośności H'!$M$43)</f>
        <v>3.8593749999999996</v>
      </c>
      <c r="S93" s="2">
        <f>SMALL(R84:R103,10)</f>
        <v>2.96875</v>
      </c>
      <c r="T93">
        <f>INDEX(P84:P103,MATCH(S93,R84:R103,))</f>
        <v>7</v>
      </c>
      <c r="U93" s="18">
        <f>INDEX(Q84:Q103,MATCH(S93,R84:R103,))</f>
        <v>10.416666666666668</v>
      </c>
    </row>
    <row r="94" spans="2:21" x14ac:dyDescent="0.25">
      <c r="B94">
        <v>11</v>
      </c>
      <c r="C94" s="2">
        <f>'Obliczenia nośności T'!$N$13</f>
        <v>13</v>
      </c>
      <c r="D94" s="2">
        <f>IF($C$94&lt;$O$9,0,'Obliczenia nośności T'!$N$29)</f>
        <v>3.92</v>
      </c>
      <c r="E94" s="2">
        <f>SMALL(D84:D100,11)</f>
        <v>3.6</v>
      </c>
      <c r="F94">
        <f>INDEX(B84:B100,MATCH(E94,D84:D100,))</f>
        <v>9</v>
      </c>
      <c r="G94" s="18">
        <f>INDEX(C84:C100,MATCH(E94,D84:D100,))</f>
        <v>12</v>
      </c>
      <c r="I94">
        <v>11</v>
      </c>
      <c r="J94" s="2">
        <f>'Obliczenia nośności W'!$N$13</f>
        <v>11.666666666666668</v>
      </c>
      <c r="K94" s="2">
        <f>IF($J$94&lt;$O$9,0,'Obliczenia nośności W'!$N$29)</f>
        <v>2.1916666666666669</v>
      </c>
      <c r="L94" s="2">
        <f>SMALL(K84:K100,11)</f>
        <v>2.0208333333333335</v>
      </c>
      <c r="M94">
        <f>INDEX(I84:I100,MATCH(L94,K84:K100,))</f>
        <v>10</v>
      </c>
      <c r="N94" s="18">
        <f>INDEX(J84:J100,MATCH(L94,K84:K100,))</f>
        <v>10.833333333333334</v>
      </c>
      <c r="P94">
        <v>11</v>
      </c>
      <c r="Q94" s="2">
        <f>'Obliczenia nośności H'!$N$27</f>
        <v>14.583333333333334</v>
      </c>
      <c r="R94" s="2">
        <f>IF($Q$94&lt;$O$9,0,'Obliczenia nośności H'!$N$43)</f>
        <v>4.15625</v>
      </c>
      <c r="S94" s="2">
        <f>SMALL(R84:R103,11)</f>
        <v>2.96875</v>
      </c>
      <c r="T94">
        <f>INDEX(P84:P103,MATCH(S94,R84:R103,))</f>
        <v>7</v>
      </c>
      <c r="U94" s="18">
        <f>INDEX(Q84:Q103,MATCH(S94,R84:R103,))</f>
        <v>10.416666666666668</v>
      </c>
    </row>
    <row r="95" spans="2:21" x14ac:dyDescent="0.25">
      <c r="B95">
        <v>12</v>
      </c>
      <c r="C95" s="2">
        <f>'Obliczenia nośności T'!$O$13</f>
        <v>13</v>
      </c>
      <c r="D95" s="2">
        <f>IF($C$95&lt;$O$9,0,'Obliczenia nośności T'!$O$29)</f>
        <v>3.8000000000000003</v>
      </c>
      <c r="E95" s="2">
        <f>SMALL(D84:D100,12)</f>
        <v>3.8000000000000003</v>
      </c>
      <c r="F95">
        <f>INDEX(B84:B100,MATCH(E95,D84:D100,))</f>
        <v>12</v>
      </c>
      <c r="G95" s="18">
        <f>INDEX(C84:C100,MATCH(E95,D84:D100,))</f>
        <v>13</v>
      </c>
      <c r="I95">
        <v>12</v>
      </c>
      <c r="J95" s="2">
        <f>'Obliczenia nośności W'!$O$13</f>
        <v>12.5</v>
      </c>
      <c r="K95" s="2">
        <f>IF($J$95&lt;$O$9,0,'Obliczenia nośności W'!$O$29)</f>
        <v>2.3624999999999998</v>
      </c>
      <c r="L95" s="2">
        <f>SMALL(K84:K100,12)</f>
        <v>2.1916666666666669</v>
      </c>
      <c r="M95">
        <f>INDEX(I84:I100,MATCH(L95,K84:K100,))</f>
        <v>11</v>
      </c>
      <c r="N95" s="18">
        <f>INDEX(J84:J100,MATCH(L95,K84:K100,))</f>
        <v>11.666666666666668</v>
      </c>
      <c r="P95">
        <v>12</v>
      </c>
      <c r="Q95" s="2">
        <f>'Obliczenia nośności H'!$O$27</f>
        <v>15.625</v>
      </c>
      <c r="R95" s="2">
        <f>IF($Q$95&lt;$O$9,0,'Obliczenia nośności H'!$O$43)</f>
        <v>4.453125</v>
      </c>
      <c r="S95" s="2">
        <f>SMALL(R84:R103,12)</f>
        <v>3.265625</v>
      </c>
      <c r="T95">
        <f>INDEX(P84:P103,MATCH(S95,R84:R103,))</f>
        <v>8</v>
      </c>
      <c r="U95" s="18">
        <f>INDEX(Q84:Q103,MATCH(S95,R84:R103,))</f>
        <v>11.458333333333334</v>
      </c>
    </row>
    <row r="96" spans="2:21" x14ac:dyDescent="0.25">
      <c r="B96">
        <v>13</v>
      </c>
      <c r="C96" s="2">
        <f>'Obliczenia nośności T'!$P$13</f>
        <v>14</v>
      </c>
      <c r="D96" s="2">
        <f>IF($C$96&lt;$O$9,0,'Obliczenia nośności T'!$P$29)</f>
        <v>4.24</v>
      </c>
      <c r="E96" s="2">
        <f>SMALL(D84:D100,13)</f>
        <v>3.92</v>
      </c>
      <c r="F96">
        <f>INDEX(B84:B100,MATCH(E96,D84:D100,))</f>
        <v>11</v>
      </c>
      <c r="G96" s="18">
        <f>INDEX(C84:C100,MATCH(E96,D84:D100,))</f>
        <v>13</v>
      </c>
      <c r="I96">
        <v>13</v>
      </c>
      <c r="J96" s="2">
        <f>'Obliczenia nośności W'!$P$13</f>
        <v>13.333333333333334</v>
      </c>
      <c r="K96" s="2">
        <f>IF($J$96&lt;$O$9,0,'Obliczenia nośności W'!$P$29)</f>
        <v>2.5333333333333332</v>
      </c>
      <c r="L96" s="2">
        <f>SMALL(K84:K100,13)</f>
        <v>2.3624999999999998</v>
      </c>
      <c r="M96">
        <f>INDEX(I84:I100,MATCH(L96,K84:K100,))</f>
        <v>12</v>
      </c>
      <c r="N96" s="18">
        <f>INDEX(J84:J100,MATCH(L96,K84:K100,))</f>
        <v>12.5</v>
      </c>
      <c r="P96">
        <v>13</v>
      </c>
      <c r="Q96" s="2">
        <f>'Obliczenia nośności H'!$P$27</f>
        <v>4.166666666666667</v>
      </c>
      <c r="R96" s="2">
        <f>IF($Q$96&lt;$O$9,0,'Obliczenia nośności H'!$P$43)</f>
        <v>0</v>
      </c>
      <c r="S96" s="2">
        <f>SMALL(R84:R103,13)</f>
        <v>3.5624999999999996</v>
      </c>
      <c r="T96">
        <f>INDEX(P84:P103,MATCH(S96,R84:R103,))</f>
        <v>17</v>
      </c>
      <c r="U96" s="18">
        <f>INDEX(Q84:Q103,MATCH(S96,R84:R103,))</f>
        <v>12.5</v>
      </c>
    </row>
    <row r="97" spans="2:21" x14ac:dyDescent="0.25">
      <c r="B97">
        <v>14</v>
      </c>
      <c r="C97" s="2">
        <f>'Obliczenia nośności T'!$Q$13</f>
        <v>14</v>
      </c>
      <c r="D97" s="2">
        <f>IF($C$97&lt;$O$9,0,'Obliczenia nośności T'!$Q$29)</f>
        <v>4.12</v>
      </c>
      <c r="E97" s="2">
        <f>SMALL(D84:D100,14)</f>
        <v>4.12</v>
      </c>
      <c r="F97">
        <f>INDEX(B84:B100,MATCH(E97,D84:D100,))</f>
        <v>14</v>
      </c>
      <c r="G97" s="18">
        <f>INDEX(C84:C100,MATCH(E97,D84:D100,))</f>
        <v>14</v>
      </c>
      <c r="I97">
        <v>14</v>
      </c>
      <c r="J97" s="2">
        <f>'Obliczenia nośności W'!$Q$13</f>
        <v>3.3333333333333335</v>
      </c>
      <c r="K97" s="2">
        <f>IF($J$97&lt;$O$9,0,'Obliczenia nośności W'!$Q$29)</f>
        <v>0</v>
      </c>
      <c r="L97" s="2">
        <f>SMALL(K84:K100,14)</f>
        <v>2.5333333333333332</v>
      </c>
      <c r="M97">
        <f>INDEX(I84:I100,MATCH(L97,K84:K100,))</f>
        <v>13</v>
      </c>
      <c r="N97" s="18">
        <f>INDEX(J84:J100,MATCH(L97,K84:K100,))</f>
        <v>13.333333333333334</v>
      </c>
      <c r="P97">
        <v>14</v>
      </c>
      <c r="Q97" s="2">
        <f>'Obliczenia nośności H'!$Q$27</f>
        <v>6.25</v>
      </c>
      <c r="R97" s="2">
        <f>IF($Q$97&lt;$O$9,0,'Obliczenia nośności H'!$Q$43)</f>
        <v>1.7812499999999998</v>
      </c>
      <c r="S97" s="2">
        <f>SMALL(R84:R103,14)</f>
        <v>3.5625</v>
      </c>
      <c r="T97">
        <f>INDEX(P84:P103,MATCH(S97,R84:R103,))</f>
        <v>9</v>
      </c>
      <c r="U97" s="18">
        <f>INDEX(Q84:Q103,MATCH(S97,R84:R103,))</f>
        <v>12.5</v>
      </c>
    </row>
    <row r="98" spans="2:21" x14ac:dyDescent="0.25">
      <c r="B98">
        <v>15</v>
      </c>
      <c r="C98" s="2">
        <f>'Obliczenia nośności T'!$R$13</f>
        <v>15</v>
      </c>
      <c r="D98" s="2">
        <f>IF($C$98&lt;$O$9,0,'Obliczenia nośności T'!$R$29)</f>
        <v>4.4399999999999995</v>
      </c>
      <c r="E98" s="2">
        <f>SMALL(D84:D100,15)</f>
        <v>4.24</v>
      </c>
      <c r="F98">
        <f>INDEX(B84:B100,MATCH(E98,D84:D100,))</f>
        <v>13</v>
      </c>
      <c r="G98" s="18">
        <f>INDEX(C84:C100,MATCH(E98,D84:D100,))</f>
        <v>14</v>
      </c>
      <c r="J98" s="2"/>
      <c r="K98" s="2"/>
      <c r="L98" s="2"/>
      <c r="N98" s="18"/>
      <c r="P98">
        <v>15</v>
      </c>
      <c r="Q98" s="2">
        <f>'Obliczenia nośności H'!$R$27</f>
        <v>8.3333333333333339</v>
      </c>
      <c r="R98" s="2">
        <f>IF($Q$98&lt;$O$9,0,'Obliczenia nośności H'!$R$43)</f>
        <v>2.375</v>
      </c>
      <c r="S98" s="2">
        <f>SMALL(R84:R103,15)</f>
        <v>3.8593749999999996</v>
      </c>
      <c r="T98">
        <f>INDEX(P84:P103,MATCH(S98,R84:R103,))</f>
        <v>10</v>
      </c>
      <c r="U98" s="18">
        <f>INDEX(Q84:Q103,MATCH(S98,R84:R103,))</f>
        <v>13.541666666666668</v>
      </c>
    </row>
    <row r="99" spans="2:21" x14ac:dyDescent="0.25">
      <c r="B99">
        <v>16</v>
      </c>
      <c r="C99" s="2">
        <f>'Obliczenia nośności T'!$S$13</f>
        <v>16</v>
      </c>
      <c r="D99" s="2">
        <f>IF($C$99&lt;$O$9,0,'Obliczenia nośności T'!$S$29)</f>
        <v>4.76</v>
      </c>
      <c r="E99" s="2">
        <f>SMALL(D84:D100,16)</f>
        <v>4.4399999999999995</v>
      </c>
      <c r="F99">
        <f>INDEX(B84:B100,MATCH(E99,D84:D100,))</f>
        <v>15</v>
      </c>
      <c r="G99" s="18">
        <f>INDEX(C84:C100,MATCH(E99,D84:D100,))</f>
        <v>15</v>
      </c>
      <c r="J99" s="2"/>
      <c r="K99" s="2"/>
      <c r="L99" s="2"/>
      <c r="N99" s="18"/>
      <c r="P99">
        <v>16</v>
      </c>
      <c r="Q99" s="2">
        <f>'Obliczenia nośności H'!$S$27</f>
        <v>10.416666666666668</v>
      </c>
      <c r="R99" s="2">
        <f>IF($Q$99&lt;$O$9,0,'Obliczenia nośności H'!$S$43)</f>
        <v>2.96875</v>
      </c>
      <c r="S99" s="2">
        <f>SMALL(R84:R103,16)</f>
        <v>4.15625</v>
      </c>
      <c r="T99">
        <f>INDEX(P84:P103,MATCH(S99,R84:R103,))</f>
        <v>11</v>
      </c>
      <c r="U99" s="18">
        <f>INDEX(Q84:Q103,MATCH(S99,R84:R103,))</f>
        <v>14.583333333333334</v>
      </c>
    </row>
    <row r="100" spans="2:21" x14ac:dyDescent="0.25">
      <c r="B100">
        <v>17</v>
      </c>
      <c r="C100" s="2">
        <f>'Obliczenia nośności T'!$T$13</f>
        <v>10</v>
      </c>
      <c r="D100" s="2">
        <f>IF($C$100&lt;$O$9,0,'Obliczenia nośności T'!$T$29)</f>
        <v>2.84</v>
      </c>
      <c r="E100" s="2">
        <f>SMALL(D84:D100,17)</f>
        <v>4.76</v>
      </c>
      <c r="F100">
        <f>INDEX(B84:B100,MATCH(E100,D84:D100,))</f>
        <v>16</v>
      </c>
      <c r="G100" s="18">
        <f>INDEX(C84:C100,MATCH(E100,D84:D100,))</f>
        <v>16</v>
      </c>
      <c r="J100" s="2"/>
      <c r="K100" s="2"/>
      <c r="L100" s="2"/>
      <c r="N100" s="18"/>
      <c r="P100">
        <v>17</v>
      </c>
      <c r="Q100" s="2">
        <f>'Obliczenia nośności H'!$T$27</f>
        <v>12.5</v>
      </c>
      <c r="R100" s="2">
        <f>IF($Q$100&lt;$O$9,0,'Obliczenia nośności H'!$T$43)</f>
        <v>3.5624999999999996</v>
      </c>
      <c r="S100" s="2">
        <f>SMALL(R84:R103,17)</f>
        <v>4.15625</v>
      </c>
      <c r="T100">
        <f>INDEX(P84:P103,MATCH(S100,R84:R103,))</f>
        <v>11</v>
      </c>
      <c r="U100" s="18">
        <f>INDEX(Q84:Q103,MATCH(S100,R84:R103,))</f>
        <v>14.583333333333334</v>
      </c>
    </row>
    <row r="101" spans="2:21" x14ac:dyDescent="0.25">
      <c r="P101">
        <v>18</v>
      </c>
      <c r="Q101" s="2">
        <f>'Obliczenia nośności H'!$U$27</f>
        <v>14.583333333333334</v>
      </c>
      <c r="R101" s="2">
        <f>IF($Q$101&lt;$O$9,0,'Obliczenia nośności H'!$U$43)</f>
        <v>4.15625</v>
      </c>
      <c r="S101" s="2">
        <f>SMALL(R84:R103,18)</f>
        <v>4.453125</v>
      </c>
      <c r="T101">
        <f>INDEX(P84:P103,MATCH(S101,R84:R103,))</f>
        <v>12</v>
      </c>
      <c r="U101" s="18">
        <f>INDEX(Q84:Q103,MATCH(S101,R84:R103,))</f>
        <v>15.625</v>
      </c>
    </row>
    <row r="102" spans="2:21" x14ac:dyDescent="0.25">
      <c r="P102">
        <v>19</v>
      </c>
      <c r="Q102" s="2">
        <f>'Obliczenia nośności H'!$V$27</f>
        <v>16.666666666666668</v>
      </c>
      <c r="R102" s="2">
        <f>IF($Q$102&lt;$O$9,0,'Obliczenia nośności H'!$V$43)</f>
        <v>4.75</v>
      </c>
      <c r="S102" s="2">
        <f>SMALL(R84:R103,19)</f>
        <v>4.75</v>
      </c>
      <c r="T102">
        <f>INDEX(P84:P103,MATCH(S102,R84:R103,))</f>
        <v>19</v>
      </c>
      <c r="U102" s="18">
        <f>INDEX(Q84:Q103,MATCH(S102,R84:R103,))</f>
        <v>16.666666666666668</v>
      </c>
    </row>
    <row r="103" spans="2:21" ht="15" customHeight="1" x14ac:dyDescent="0.25">
      <c r="P103">
        <v>20</v>
      </c>
      <c r="Q103" s="2">
        <f>'Obliczenia nośności H'!$W$27</f>
        <v>20.833333333333336</v>
      </c>
      <c r="R103" s="2">
        <f>IF($Q$103&lt;$O$9,0,'Obliczenia nośności H'!$W$43)</f>
        <v>5.9375</v>
      </c>
      <c r="S103" s="2">
        <f>SMALL(R84:R103,20)</f>
        <v>5.9375</v>
      </c>
      <c r="T103">
        <f>INDEX(P84:P103,MATCH(S103,R84:R103,))</f>
        <v>20</v>
      </c>
      <c r="U103" s="18">
        <f>INDEX(Q84:Q103,MATCH(S103,R84:R103,))</f>
        <v>20.833333333333336</v>
      </c>
    </row>
    <row r="104" spans="2:21" ht="15" hidden="1" customHeight="1" x14ac:dyDescent="0.25">
      <c r="L104" s="148" t="s">
        <v>272</v>
      </c>
    </row>
    <row r="105" spans="2:21" ht="15" hidden="1" customHeight="1" x14ac:dyDescent="0.25">
      <c r="L105" t="s">
        <v>268</v>
      </c>
    </row>
    <row r="106" spans="2:21" ht="15" hidden="1" customHeight="1" x14ac:dyDescent="0.25">
      <c r="L106" t="s">
        <v>270</v>
      </c>
    </row>
    <row r="107" spans="2:21" ht="15" hidden="1" customHeight="1" x14ac:dyDescent="0.25">
      <c r="L107" t="s">
        <v>271</v>
      </c>
    </row>
    <row r="108" spans="2:21" ht="15" customHeight="1" x14ac:dyDescent="0.25"/>
  </sheetData>
  <sheetProtection algorithmName="SHA-512" hashValue="MdHRilVxwJ3ajBSyNvBh4SV4F3Aptsm4utCaVXSPJ2CF85ZEvPjeq3YAwlCcREh+JwrF6Lbu+Ihu8wVqRJ/h9g==" saltValue="gyWX9LyszBR/EMm/T7kPgw==" spinCount="100000" sheet="1" objects="1" scenarios="1"/>
  <mergeCells count="93">
    <mergeCell ref="I10:N10"/>
    <mergeCell ref="B2:V3"/>
    <mergeCell ref="B4:V4"/>
    <mergeCell ref="B6:V6"/>
    <mergeCell ref="I8:N8"/>
    <mergeCell ref="I9:N9"/>
    <mergeCell ref="J12:N14"/>
    <mergeCell ref="I15:I18"/>
    <mergeCell ref="J15:J18"/>
    <mergeCell ref="K15:K18"/>
    <mergeCell ref="L15:L18"/>
    <mergeCell ref="M15:M18"/>
    <mergeCell ref="N15:N18"/>
    <mergeCell ref="O19:O20"/>
    <mergeCell ref="I21:I23"/>
    <mergeCell ref="O21:O23"/>
    <mergeCell ref="I19:I20"/>
    <mergeCell ref="J19:J20"/>
    <mergeCell ref="K19:K20"/>
    <mergeCell ref="L19:L20"/>
    <mergeCell ref="M19:M20"/>
    <mergeCell ref="N19:N20"/>
    <mergeCell ref="J21:J23"/>
    <mergeCell ref="K21:K23"/>
    <mergeCell ref="L21:L23"/>
    <mergeCell ref="M21:M23"/>
    <mergeCell ref="N21:N23"/>
    <mergeCell ref="E24:E43"/>
    <mergeCell ref="F24:F43"/>
    <mergeCell ref="G24:G27"/>
    <mergeCell ref="H24:H27"/>
    <mergeCell ref="G36:G39"/>
    <mergeCell ref="H36:H39"/>
    <mergeCell ref="G32:G35"/>
    <mergeCell ref="H32:H35"/>
    <mergeCell ref="G28:G31"/>
    <mergeCell ref="H28:H31"/>
    <mergeCell ref="G40:G43"/>
    <mergeCell ref="H40:H43"/>
    <mergeCell ref="P24:P27"/>
    <mergeCell ref="Q24:Q27"/>
    <mergeCell ref="R24:R43"/>
    <mergeCell ref="J25:J26"/>
    <mergeCell ref="K25:K42"/>
    <mergeCell ref="P28:P31"/>
    <mergeCell ref="N33:N34"/>
    <mergeCell ref="Q28:Q31"/>
    <mergeCell ref="J29:J30"/>
    <mergeCell ref="P32:P35"/>
    <mergeCell ref="Q32:Q35"/>
    <mergeCell ref="J33:J34"/>
    <mergeCell ref="L33:L34"/>
    <mergeCell ref="P36:P39"/>
    <mergeCell ref="Q36:Q39"/>
    <mergeCell ref="J37:J38"/>
    <mergeCell ref="P40:P43"/>
    <mergeCell ref="Q40:Q43"/>
    <mergeCell ref="J41:J42"/>
    <mergeCell ref="N47:N48"/>
    <mergeCell ref="B81:G81"/>
    <mergeCell ref="I81:N81"/>
    <mergeCell ref="I49:I52"/>
    <mergeCell ref="J49:J52"/>
    <mergeCell ref="K49:K52"/>
    <mergeCell ref="L49:L52"/>
    <mergeCell ref="M49:M52"/>
    <mergeCell ref="N49:N52"/>
    <mergeCell ref="I47:I48"/>
    <mergeCell ref="J47:J48"/>
    <mergeCell ref="K47:K48"/>
    <mergeCell ref="L47:L48"/>
    <mergeCell ref="M47:M48"/>
    <mergeCell ref="I44:I46"/>
    <mergeCell ref="P81:U81"/>
    <mergeCell ref="J53:N55"/>
    <mergeCell ref="J56:N58"/>
    <mergeCell ref="J61:N61"/>
    <mergeCell ref="J72:N72"/>
    <mergeCell ref="J44:J46"/>
    <mergeCell ref="K44:K46"/>
    <mergeCell ref="L44:L46"/>
    <mergeCell ref="M44:M46"/>
    <mergeCell ref="N44:N46"/>
    <mergeCell ref="I24:I27"/>
    <mergeCell ref="I28:I31"/>
    <mergeCell ref="I32:I35"/>
    <mergeCell ref="I36:I39"/>
    <mergeCell ref="I40:I43"/>
    <mergeCell ref="O24:O27"/>
    <mergeCell ref="O28:O31"/>
    <mergeCell ref="O32:O35"/>
    <mergeCell ref="O36:O39"/>
    <mergeCell ref="O40:O43"/>
  </mergeCells>
  <conditionalFormatting sqref="J21:N21 O24 J44:N44 I24 I28 I32 I36 I40 O28 O32 O36 O40">
    <cfRule type="colorScale" priority="2">
      <colorScale>
        <cfvo type="min"/>
        <cfvo type="max"/>
        <color rgb="FFFFFF00"/>
        <color rgb="FFFF0000"/>
      </colorScale>
    </cfRule>
  </conditionalFormatting>
  <conditionalFormatting sqref="J19:N19 P24 J47:N47 H24 H28 H32 H36 H40 P28 P32 P36 P40">
    <cfRule type="colorScale" priority="1">
      <colorScale>
        <cfvo type="min"/>
        <cfvo type="max"/>
        <color rgb="FF29C7FF"/>
        <color rgb="FF00B050"/>
      </colorScale>
    </cfRule>
  </conditionalFormatting>
  <dataValidations count="1">
    <dataValidation type="list" allowBlank="1" showInputMessage="1" showErrorMessage="1" sqref="O8" xr:uid="{00000000-0002-0000-0900-000000000000}">
      <formula1>$L$105:$L$107</formula1>
    </dataValidation>
  </dataValidations>
  <pageMargins left="0.7" right="0.7" top="0.75" bottom="0.75" header="0.3" footer="0.3"/>
  <pageSetup paperSize="9" orientation="portrait" horizontalDpi="1200" verticalDpi="1200" r:id="rId1"/>
  <ignoredErrors>
    <ignoredError sqref="L75:L77 L79" 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V107"/>
  <sheetViews>
    <sheetView zoomScaleNormal="100" workbookViewId="0">
      <selection activeCell="B2" sqref="B2:V3"/>
    </sheetView>
  </sheetViews>
  <sheetFormatPr defaultRowHeight="15" x14ac:dyDescent="0.25"/>
  <sheetData>
    <row r="2" spans="2:22" x14ac:dyDescent="0.25">
      <c r="B2" s="226" t="s">
        <v>303</v>
      </c>
      <c r="C2" s="226"/>
      <c r="D2" s="226"/>
      <c r="E2" s="226"/>
      <c r="F2" s="226"/>
      <c r="G2" s="226"/>
      <c r="H2" s="226"/>
      <c r="I2" s="226"/>
      <c r="J2" s="226"/>
      <c r="K2" s="226"/>
      <c r="L2" s="226"/>
      <c r="M2" s="226"/>
      <c r="N2" s="226"/>
      <c r="O2" s="226"/>
      <c r="P2" s="226"/>
      <c r="Q2" s="226"/>
      <c r="R2" s="226"/>
      <c r="S2" s="226"/>
      <c r="T2" s="226"/>
      <c r="U2" s="226"/>
      <c r="V2" s="226"/>
    </row>
    <row r="3" spans="2:22" x14ac:dyDescent="0.25">
      <c r="B3" s="226"/>
      <c r="C3" s="226"/>
      <c r="D3" s="226"/>
      <c r="E3" s="226"/>
      <c r="F3" s="226"/>
      <c r="G3" s="226"/>
      <c r="H3" s="226"/>
      <c r="I3" s="226"/>
      <c r="J3" s="226"/>
      <c r="K3" s="226"/>
      <c r="L3" s="226"/>
      <c r="M3" s="226"/>
      <c r="N3" s="226"/>
      <c r="O3" s="226"/>
      <c r="P3" s="226"/>
      <c r="Q3" s="226"/>
      <c r="R3" s="226"/>
      <c r="S3" s="226"/>
      <c r="T3" s="226"/>
      <c r="U3" s="226"/>
      <c r="V3" s="226"/>
    </row>
    <row r="4" spans="2:22" x14ac:dyDescent="0.25">
      <c r="B4" s="307" t="s">
        <v>254</v>
      </c>
      <c r="C4" s="307"/>
      <c r="D4" s="307"/>
      <c r="E4" s="307"/>
      <c r="F4" s="307"/>
      <c r="G4" s="307"/>
      <c r="H4" s="307"/>
      <c r="I4" s="307"/>
      <c r="J4" s="307"/>
      <c r="K4" s="307"/>
      <c r="L4" s="307"/>
      <c r="M4" s="307"/>
      <c r="N4" s="307"/>
      <c r="O4" s="307"/>
      <c r="P4" s="307"/>
      <c r="Q4" s="307"/>
      <c r="R4" s="307"/>
      <c r="S4" s="307"/>
      <c r="T4" s="307"/>
      <c r="U4" s="307"/>
      <c r="V4" s="307"/>
    </row>
    <row r="6" spans="2:22" x14ac:dyDescent="0.25">
      <c r="B6" s="247" t="s">
        <v>95</v>
      </c>
      <c r="C6" s="248"/>
      <c r="D6" s="248"/>
      <c r="E6" s="248"/>
      <c r="F6" s="248"/>
      <c r="G6" s="248"/>
      <c r="H6" s="248"/>
      <c r="I6" s="248"/>
      <c r="J6" s="248"/>
      <c r="K6" s="248"/>
      <c r="L6" s="248"/>
      <c r="M6" s="248"/>
      <c r="N6" s="248"/>
      <c r="O6" s="248"/>
      <c r="P6" s="248"/>
      <c r="Q6" s="248"/>
      <c r="R6" s="248"/>
      <c r="S6" s="248"/>
      <c r="T6" s="248"/>
      <c r="U6" s="248"/>
      <c r="V6" s="248"/>
    </row>
    <row r="7" spans="2:22" x14ac:dyDescent="0.25">
      <c r="B7" s="143"/>
      <c r="C7" s="144"/>
      <c r="D7" s="144"/>
      <c r="E7" s="144"/>
      <c r="F7" s="144"/>
      <c r="G7" s="144"/>
      <c r="H7" s="144"/>
      <c r="I7" s="144"/>
      <c r="J7" s="144"/>
      <c r="K7" s="144"/>
      <c r="L7" s="144"/>
      <c r="M7" s="144"/>
      <c r="N7" s="144"/>
      <c r="O7" s="144"/>
      <c r="P7" s="144"/>
      <c r="Q7" s="144"/>
      <c r="R7" s="144"/>
      <c r="S7" s="144"/>
      <c r="T7" s="144"/>
      <c r="U7" s="144"/>
      <c r="V7" s="144"/>
    </row>
    <row r="8" spans="2:22" x14ac:dyDescent="0.25">
      <c r="I8" s="306" t="s">
        <v>261</v>
      </c>
      <c r="J8" s="306"/>
      <c r="K8" s="306"/>
      <c r="L8" s="306"/>
      <c r="M8" s="306"/>
      <c r="N8" s="306"/>
      <c r="O8" s="213" t="s">
        <v>268</v>
      </c>
    </row>
    <row r="9" spans="2:22" x14ac:dyDescent="0.25">
      <c r="I9" s="306" t="s">
        <v>263</v>
      </c>
      <c r="J9" s="306"/>
      <c r="K9" s="306"/>
      <c r="L9" s="306"/>
      <c r="M9" s="306"/>
      <c r="N9" s="306"/>
      <c r="O9" s="214">
        <v>5</v>
      </c>
    </row>
    <row r="10" spans="2:22" x14ac:dyDescent="0.25">
      <c r="I10" s="306" t="s">
        <v>262</v>
      </c>
      <c r="J10" s="306"/>
      <c r="K10" s="306"/>
      <c r="L10" s="306"/>
      <c r="M10" s="306"/>
      <c r="N10" s="306"/>
      <c r="O10" s="214">
        <v>3</v>
      </c>
    </row>
    <row r="11" spans="2:22" x14ac:dyDescent="0.25">
      <c r="B11" s="142"/>
      <c r="C11" s="141"/>
      <c r="D11" s="141"/>
      <c r="E11" s="141"/>
      <c r="F11" s="141"/>
      <c r="G11" s="141"/>
      <c r="H11" s="141"/>
      <c r="I11" s="141"/>
      <c r="J11" s="141"/>
      <c r="K11" s="141"/>
      <c r="L11" s="141"/>
      <c r="M11" s="141"/>
      <c r="N11" s="141"/>
      <c r="O11" s="141"/>
      <c r="P11" s="141"/>
      <c r="Q11" s="141"/>
      <c r="R11" s="141"/>
      <c r="S11" s="141"/>
      <c r="T11" s="141"/>
      <c r="U11" s="141"/>
      <c r="V11" s="141"/>
    </row>
    <row r="12" spans="2:22" x14ac:dyDescent="0.25">
      <c r="B12" s="142"/>
      <c r="C12" s="141"/>
      <c r="D12" s="141"/>
      <c r="E12" s="141"/>
      <c r="F12" s="141"/>
      <c r="G12" s="141"/>
      <c r="H12" s="141"/>
      <c r="I12" s="141"/>
      <c r="J12" s="245" t="str">
        <f>"Wysokość  ze = "&amp;TEXT('Obliczenia wiatr II'!E42,"####0,0##")&amp;" m"</f>
        <v>Wysokość  ze = 25,0 m</v>
      </c>
      <c r="K12" s="245"/>
      <c r="L12" s="245"/>
      <c r="M12" s="245"/>
      <c r="N12" s="245"/>
      <c r="O12" s="141"/>
      <c r="P12" s="141"/>
      <c r="Q12" s="141"/>
      <c r="R12" s="141"/>
      <c r="S12" s="141"/>
      <c r="T12" s="141"/>
      <c r="U12" s="141"/>
      <c r="V12" s="141"/>
    </row>
    <row r="13" spans="2:22" x14ac:dyDescent="0.25">
      <c r="B13" s="142"/>
      <c r="C13" s="141"/>
      <c r="D13" s="141"/>
      <c r="E13" s="141"/>
      <c r="F13" s="141"/>
      <c r="G13" s="141"/>
      <c r="H13" s="141"/>
      <c r="I13" s="141"/>
      <c r="J13" s="245"/>
      <c r="K13" s="245"/>
      <c r="L13" s="245"/>
      <c r="M13" s="245"/>
      <c r="N13" s="245"/>
      <c r="O13" s="141"/>
      <c r="P13" s="141"/>
      <c r="Q13" s="141"/>
      <c r="R13" s="141"/>
      <c r="S13" s="141"/>
      <c r="T13" s="141"/>
      <c r="U13" s="141"/>
      <c r="V13" s="141"/>
    </row>
    <row r="14" spans="2:22" x14ac:dyDescent="0.25">
      <c r="J14" s="245"/>
      <c r="K14" s="245"/>
      <c r="L14" s="245"/>
      <c r="M14" s="245"/>
      <c r="N14" s="245"/>
    </row>
    <row r="15" spans="2:22" x14ac:dyDescent="0.25">
      <c r="I15" s="270" t="s">
        <v>180</v>
      </c>
      <c r="J15" s="308">
        <f>'Wyniki graficzne wiatr II'!J11</f>
        <v>5.6</v>
      </c>
      <c r="K15" s="262" t="str">
        <f>'Wyniki graficzne wiatr II'!K11</f>
        <v/>
      </c>
      <c r="L15" s="262">
        <f>'Wyniki graficzne wiatr II'!L11</f>
        <v>4.4000000000000004</v>
      </c>
      <c r="M15" s="262" t="str">
        <f>'Wyniki graficzne wiatr II'!M11</f>
        <v/>
      </c>
      <c r="N15" s="262" t="str">
        <f>'Wyniki graficzne wiatr II'!N11</f>
        <v/>
      </c>
      <c r="O15" s="1"/>
    </row>
    <row r="16" spans="2:22" x14ac:dyDescent="0.25">
      <c r="I16" s="270"/>
      <c r="J16" s="308"/>
      <c r="K16" s="262"/>
      <c r="L16" s="262"/>
      <c r="M16" s="262"/>
      <c r="N16" s="262"/>
      <c r="O16" s="1"/>
    </row>
    <row r="17" spans="5:21" x14ac:dyDescent="0.25">
      <c r="I17" s="270"/>
      <c r="J17" s="308"/>
      <c r="K17" s="262"/>
      <c r="L17" s="262"/>
      <c r="M17" s="262"/>
      <c r="N17" s="262"/>
      <c r="O17" s="1"/>
    </row>
    <row r="18" spans="5:21" x14ac:dyDescent="0.25">
      <c r="I18" s="270"/>
      <c r="J18" s="308"/>
      <c r="K18" s="262"/>
      <c r="L18" s="262"/>
      <c r="M18" s="262"/>
      <c r="N18" s="262"/>
      <c r="O18" s="1"/>
    </row>
    <row r="19" spans="5:21" ht="15" customHeight="1" x14ac:dyDescent="0.25">
      <c r="I19" s="292" t="s">
        <v>264</v>
      </c>
      <c r="J19" s="291">
        <f t="array" ref="J19">IF(O8="T",INDEX(F84:F100,MATCH(TRUE,E84:E100&gt;=J63,0)),IF(O8="W",INDEX(M84:M100,MATCH(TRUE,L84:L100&gt;=J63,0)),IF(O8="H",INDEX(T84:T103,MATCH(TRUE,S84:S103&gt;=J63,0)),0)))</f>
        <v>5</v>
      </c>
      <c r="K19" s="291">
        <f t="array" ref="K19">IF(O8="T",INDEX(F84:F100,MATCH(TRUE,E84:E100&gt;=K63,0)),IF(O8="W",INDEX(M84:M100,MATCH(TRUE,L84:L100&gt;=K63,0)),IF(O8="H",INDEX(T84:T103,MATCH(TRUE,S84:S103&gt;=K63,0)),0)))</f>
        <v>5</v>
      </c>
      <c r="L19" s="291">
        <f t="array" ref="L19">IF(O8="T",INDEX(F84:F100,MATCH(TRUE,E84:E100&gt;=L63,0)),IF(O8="W",INDEX(M84:M100,MATCH(TRUE,L84:L100&gt;=L63,0)),IF(O8="H",INDEX(T84:T103,MATCH(TRUE,S84:S103&gt;=L63,0)),0)))</f>
        <v>3</v>
      </c>
      <c r="M19" s="291">
        <f t="array" ref="M19">IF(O8="T",INDEX(F84:F100,MATCH(TRUE,E84:E100&gt;=M63,0)),IF(O8="W",INDEX(M84:M100,MATCH(TRUE,L84:L100&gt;=M63,0)),IF(O8="H",INDEX(T84:T103,MATCH(TRUE,S84:S103&gt;=M63,0)),0)))</f>
        <v>3</v>
      </c>
      <c r="N19" s="291">
        <f t="array" ref="N19">IF(O8="T",INDEX(F84:F100,MATCH(TRUE,E84:E100&gt;=N63,0)),IF(O8="W",INDEX(M84:M100,MATCH(TRUE,L84:L100&gt;=N63,0)),IF(O8="H",INDEX(T84:T103,MATCH(TRUE,S84:S103&gt;=N63,0)),0)))</f>
        <v>3</v>
      </c>
      <c r="O19" s="270" t="s">
        <v>264</v>
      </c>
    </row>
    <row r="20" spans="5:21" ht="15" customHeight="1" x14ac:dyDescent="0.25">
      <c r="I20" s="292"/>
      <c r="J20" s="291"/>
      <c r="K20" s="291"/>
      <c r="L20" s="291"/>
      <c r="M20" s="291"/>
      <c r="N20" s="291"/>
      <c r="O20" s="270"/>
    </row>
    <row r="21" spans="5:21" ht="15" customHeight="1" x14ac:dyDescent="0.25">
      <c r="I21" s="292" t="s">
        <v>269</v>
      </c>
      <c r="J21" s="299">
        <f t="array" ref="J21">IF(O8="T",INDEX(G84:G100,MATCH(TRUE,E84:E100&gt;=J63,0)),IF(O8="W",INDEX(N84:N100,MATCH(TRUE,L84:L100&gt;=J63,0)),IF(O8="H",INDEX(U84:U103,MATCH(TRUE,S84:S103&gt;=J63,0)),0)))</f>
        <v>8</v>
      </c>
      <c r="K21" s="299">
        <f t="array" ref="K21">IF(O8="T",INDEX(G84:G100,MATCH(TRUE,E84:E100&gt;=K63,0)),IF(O8="W",INDEX(N84:N100,MATCH(TRUE,L84:L100&gt;=K63,0)),IF(O8="H",INDEX(U84:U103,MATCH(TRUE,S84:S103&gt;=K63,0)),0)))</f>
        <v>8</v>
      </c>
      <c r="L21" s="299">
        <f t="array" ref="L21">IF(O8="T",INDEX(G84:G100,MATCH(TRUE,E84:E100&gt;=L63,0)),IF(O8="W",INDEX(N84:N100,MATCH(TRUE,L84:L100&gt;=L63,0)),IF(O8="H",INDEX(U84:U103,MATCH(TRUE,S84:S103&gt;=L63,0)),0)))</f>
        <v>6</v>
      </c>
      <c r="M21" s="299">
        <f t="array" ref="M21">IF(O8="T",INDEX(G84:G100,MATCH(TRUE,E84:E100&gt;=M63,0)),IF(O8="W",INDEX(N84:N100,MATCH(TRUE,L84:L100&gt;=M63,0)),IF(O8="H",INDEX(U84:U103,MATCH(TRUE,S84:S103&gt;=M63,0)),0)))</f>
        <v>6</v>
      </c>
      <c r="N21" s="299">
        <f t="array" ref="N21">IF(O8="T",INDEX(G84:G100,MATCH(TRUE,E84:E100&gt;=N63,0)),IF(O8="W",INDEX(N84:N100,MATCH(TRUE,L84:L100&gt;=N63,0)),IF(O8="H",INDEX(U84:U103,MATCH(TRUE,S84:S103&gt;=N63,0)),0)))</f>
        <v>6</v>
      </c>
      <c r="O21" s="292" t="s">
        <v>269</v>
      </c>
    </row>
    <row r="22" spans="5:21" ht="15" customHeight="1" x14ac:dyDescent="0.25">
      <c r="I22" s="292"/>
      <c r="J22" s="299"/>
      <c r="K22" s="299"/>
      <c r="L22" s="299"/>
      <c r="M22" s="299"/>
      <c r="N22" s="299"/>
      <c r="O22" s="292"/>
    </row>
    <row r="23" spans="5:21" ht="15.75" customHeight="1" thickBot="1" x14ac:dyDescent="0.3">
      <c r="F23" s="141"/>
      <c r="G23" s="190" t="s">
        <v>180</v>
      </c>
      <c r="H23" s="181" t="s">
        <v>264</v>
      </c>
      <c r="I23" s="292"/>
      <c r="J23" s="300"/>
      <c r="K23" s="300"/>
      <c r="L23" s="300"/>
      <c r="M23" s="300"/>
      <c r="N23" s="300"/>
      <c r="O23" s="292"/>
      <c r="P23" s="180" t="s">
        <v>264</v>
      </c>
      <c r="Q23" s="192" t="s">
        <v>180</v>
      </c>
    </row>
    <row r="24" spans="5:21" ht="15.75" customHeight="1" thickTop="1" x14ac:dyDescent="0.25">
      <c r="E24" s="244" t="str">
        <f>"Wysokość  ze = "&amp;TEXT('Obliczenia wiatr II'!D42,"####0,0##")&amp;" m"</f>
        <v>Wysokość  ze = 25,0 m</v>
      </c>
      <c r="F24" s="260" t="str">
        <f>TEXT(K75+K76+K77,"####0,0##")&amp;" m"</f>
        <v>28,0 m</v>
      </c>
      <c r="G24" s="262">
        <f>'Wyniki graficzne wiatr II'!G20</f>
        <v>2</v>
      </c>
      <c r="H24" s="291">
        <f t="array" ref="H24">IF(O8="T",INDEX(F84:F100,MATCH(TRUE,E84:E100&gt;=I64,0)),IF(O8="W",INDEX(M84:M100,MATCH(TRUE,L84:L100&gt;=I64,0)),IF(O8="H",INDEX(T84:T103,MATCH(TRUE,S84:S103&gt;=I64,0)),0)))</f>
        <v>5</v>
      </c>
      <c r="I24" s="290">
        <f t="array" ref="I24">IF(O8="T",INDEX(G84:G100,MATCH(TRUE,E84:E100&gt;=I64,0)),IF(O8="W",INDEX(N84:N100,MATCH(TRUE,L84:L100&gt;=I64,0)),IF(O8="H",INDEX(U84:U103,MATCH(TRUE,S84:S103&gt;=I64,0)),0)))</f>
        <v>8</v>
      </c>
      <c r="J24" s="74"/>
      <c r="K24" s="286" t="str">
        <f>"Przyjęta oś budynku, odchylona o kąt "&amp;TEXT('Obliczenia wiatr II'!C11,"####0,0##")&amp;"° od kierunku N"</f>
        <v>Przyjęta oś budynku, odchylona o kąt 10,0° od kierunku N</v>
      </c>
      <c r="L24" s="87" t="s">
        <v>98</v>
      </c>
      <c r="M24" s="75"/>
      <c r="N24" s="76"/>
      <c r="O24" s="289">
        <f t="array" ref="O24">IF(O8="T",INDEX(G84:G100,MATCH(TRUE,E84:E100&gt;=O64,0)),IF(O8="W",INDEX(N84:N100,MATCH(TRUE,L84:L100&gt;=O64,0)),IF(O8="H",INDEX(U84:U103,MATCH(TRUE,S84:S103&gt;=O64,0)),0)))</f>
        <v>8</v>
      </c>
      <c r="P24" s="291">
        <f t="array" ref="P24">IF(O8="T",INDEX(F84:F100,MATCH(TRUE,E84:E100&gt;=O64,0)),IF(O8="W",INDEX(M84:M100,MATCH(TRUE,L84:L100&gt;=O64,0)),IF(O8="H",INDEX(T84:T103,MATCH(TRUE,S84:S103&gt;=O64,0)),0)))</f>
        <v>5</v>
      </c>
      <c r="Q24" s="262">
        <f>'Wyniki graficzne wiatr II'!Q20</f>
        <v>2</v>
      </c>
      <c r="R24" s="244" t="str">
        <f>"Wysokość  ze = "&amp;TEXT('Obliczenia wiatr II'!D42,"####0,0##")&amp;" m"</f>
        <v>Wysokość  ze = 25,0 m</v>
      </c>
    </row>
    <row r="25" spans="5:21" ht="15" customHeight="1" x14ac:dyDescent="0.25">
      <c r="E25" s="244"/>
      <c r="F25" s="260"/>
      <c r="G25" s="262"/>
      <c r="H25" s="291"/>
      <c r="I25" s="290"/>
      <c r="J25" s="271"/>
      <c r="K25" s="287"/>
      <c r="L25" s="77"/>
      <c r="M25" s="78"/>
      <c r="N25" s="79"/>
      <c r="O25" s="289"/>
      <c r="P25" s="291"/>
      <c r="Q25" s="262"/>
      <c r="R25" s="244"/>
    </row>
    <row r="26" spans="5:21" ht="15" customHeight="1" x14ac:dyDescent="0.25">
      <c r="E26" s="244"/>
      <c r="F26" s="260"/>
      <c r="G26" s="262"/>
      <c r="H26" s="291"/>
      <c r="I26" s="290"/>
      <c r="J26" s="271"/>
      <c r="K26" s="287"/>
      <c r="L26" s="77"/>
      <c r="M26" s="78"/>
      <c r="N26" s="79"/>
      <c r="O26" s="289"/>
      <c r="P26" s="291"/>
      <c r="Q26" s="262"/>
      <c r="R26" s="244"/>
    </row>
    <row r="27" spans="5:21" ht="15" customHeight="1" x14ac:dyDescent="0.25">
      <c r="E27" s="244"/>
      <c r="F27" s="260"/>
      <c r="G27" s="262"/>
      <c r="H27" s="291"/>
      <c r="I27" s="290"/>
      <c r="J27" s="80"/>
      <c r="K27" s="287"/>
      <c r="L27" s="77"/>
      <c r="M27" s="78"/>
      <c r="N27" s="79"/>
      <c r="O27" s="289"/>
      <c r="P27" s="291"/>
      <c r="Q27" s="262"/>
      <c r="R27" s="244"/>
    </row>
    <row r="28" spans="5:21" ht="15" customHeight="1" x14ac:dyDescent="0.25">
      <c r="E28" s="244"/>
      <c r="F28" s="260"/>
      <c r="G28" s="262">
        <f>'Wyniki graficzne wiatr II'!G24</f>
        <v>8</v>
      </c>
      <c r="H28" s="291">
        <f t="array" ref="H28">IF(O8="T",INDEX(F84:F100,MATCH(TRUE,E84:E100&gt;=I65,0)),IF(O8="W",INDEX(M84:M100,MATCH(TRUE,L84:L100&gt;=I65,0)),IF(O8="H",INDEX(T84:T103,MATCH(TRUE,S84:S103&gt;=I65,0)),0)))</f>
        <v>3</v>
      </c>
      <c r="I28" s="290">
        <f t="array" ref="I28">IF(O8="T",INDEX(G84:G100,MATCH(TRUE,E84:E100&gt;=I65,0)),IF(O8="W",INDEX(N84:N100,MATCH(TRUE,L84:L100&gt;=I65,0)),IF(O8="H",INDEX(U84:U103,MATCH(TRUE,S84:S103&gt;=I65,0)),0)))</f>
        <v>6</v>
      </c>
      <c r="J28" s="80"/>
      <c r="K28" s="287"/>
      <c r="L28" s="77"/>
      <c r="M28" s="78"/>
      <c r="N28" s="79"/>
      <c r="O28" s="289">
        <f t="array" ref="O28">IF(O8="T",INDEX(G84:G100,MATCH(TRUE,E84:E100&gt;=O65,0)),IF(O8="W",INDEX(N84:N100,MATCH(TRUE,L84:L100&gt;=O65,0)),IF(O8="H",INDEX(U84:U103,MATCH(TRUE,S84:S103&gt;=O65,0)),0)))</f>
        <v>6</v>
      </c>
      <c r="P28" s="291">
        <f t="array" ref="P28">IF(O8="T",INDEX(F84:F100,MATCH(TRUE,E84:E100&gt;=O65,0)),IF(O8="W",INDEX(M84:M100,MATCH(TRUE,L84:L100&gt;=O65,0)),IF(O8="H",INDEX(T84:T103,MATCH(TRUE,S84:S103&gt;=O65,0)),0)))</f>
        <v>3</v>
      </c>
      <c r="Q28" s="262">
        <f>'Wyniki graficzne wiatr II'!Q24</f>
        <v>8</v>
      </c>
      <c r="R28" s="244"/>
    </row>
    <row r="29" spans="5:21" ht="15" customHeight="1" x14ac:dyDescent="0.25">
      <c r="E29" s="244"/>
      <c r="F29" s="260"/>
      <c r="G29" s="262"/>
      <c r="H29" s="291"/>
      <c r="I29" s="290"/>
      <c r="J29" s="271"/>
      <c r="K29" s="287"/>
      <c r="L29" s="77"/>
      <c r="M29" s="78"/>
      <c r="N29" s="79"/>
      <c r="O29" s="289"/>
      <c r="P29" s="291"/>
      <c r="Q29" s="262"/>
      <c r="R29" s="244"/>
      <c r="U29" s="81"/>
    </row>
    <row r="30" spans="5:21" ht="15" customHeight="1" x14ac:dyDescent="0.25">
      <c r="E30" s="244"/>
      <c r="F30" s="260"/>
      <c r="G30" s="262"/>
      <c r="H30" s="291"/>
      <c r="I30" s="290"/>
      <c r="J30" s="271"/>
      <c r="K30" s="287"/>
      <c r="L30" s="77"/>
      <c r="M30" s="78"/>
      <c r="N30" s="79"/>
      <c r="O30" s="289"/>
      <c r="P30" s="291"/>
      <c r="Q30" s="262"/>
      <c r="R30" s="244"/>
      <c r="U30" s="81"/>
    </row>
    <row r="31" spans="5:21" ht="15" customHeight="1" x14ac:dyDescent="0.25">
      <c r="E31" s="244"/>
      <c r="F31" s="260"/>
      <c r="G31" s="262"/>
      <c r="H31" s="291"/>
      <c r="I31" s="290"/>
      <c r="J31" s="80"/>
      <c r="K31" s="287"/>
      <c r="L31" s="77"/>
      <c r="M31" s="78"/>
      <c r="N31" s="79"/>
      <c r="O31" s="289"/>
      <c r="P31" s="291"/>
      <c r="Q31" s="262"/>
      <c r="R31" s="244"/>
      <c r="U31" s="81"/>
    </row>
    <row r="32" spans="5:21" ht="15" customHeight="1" x14ac:dyDescent="0.25">
      <c r="E32" s="244"/>
      <c r="F32" s="260"/>
      <c r="G32" s="262">
        <f>'Wyniki graficzne wiatr II'!G28</f>
        <v>8</v>
      </c>
      <c r="H32" s="291">
        <f t="array" ref="H32">IF(O8="T",INDEX(F84:F100,MATCH(TRUE,E84:E100&gt;=I66,0)),IF(O8="W",INDEX(M84:M100,MATCH(TRUE,L84:L100&gt;=I66,0)),IF(O8="H",INDEX(T84:T103,MATCH(TRUE,S84:S103&gt;=I66,0)),0)))</f>
        <v>2</v>
      </c>
      <c r="I32" s="290">
        <f t="array" ref="I32">IF(O8="T",INDEX(G84:G100,MATCH(TRUE,E84:E100&gt;=I66,0)),IF(O8="W",INDEX(N84:N100,MATCH(TRUE,L84:L100&gt;=I66,0)),IF(O8="H",INDEX(U84:U103,MATCH(TRUE,S84:S103&gt;=I66,0)),0)))</f>
        <v>5</v>
      </c>
      <c r="J32" s="80"/>
      <c r="K32" s="287"/>
      <c r="L32" s="77"/>
      <c r="M32" s="78"/>
      <c r="N32" s="79"/>
      <c r="O32" s="289">
        <f t="array" ref="O32">IF(O8="T",INDEX(G84:G100,MATCH(TRUE,E84:E100&gt;=O66,0)),IF(O8="W",INDEX(N84:N100,MATCH(TRUE,L84:L100&gt;=O66,0)),IF(O8="H",INDEX(U84:U103,MATCH(TRUE,S84:S103&gt;=O66,0)),0)))</f>
        <v>5</v>
      </c>
      <c r="P32" s="291">
        <f t="array" ref="P32">IF(O8="T",INDEX(F84:F100,MATCH(TRUE,E84:E100&gt;=O66,0)),IF(O8="W",INDEX(M84:M100,MATCH(TRUE,L84:L100&gt;=O66,0)),IF(O8="H",INDEX(T84:T103,MATCH(TRUE,S84:S103&gt;=O66,0)),0)))</f>
        <v>2</v>
      </c>
      <c r="Q32" s="262">
        <f>'Wyniki graficzne wiatr II'!Q28</f>
        <v>16</v>
      </c>
      <c r="R32" s="244"/>
      <c r="U32" s="81"/>
    </row>
    <row r="33" spans="5:21" ht="15" customHeight="1" x14ac:dyDescent="0.25">
      <c r="E33" s="244"/>
      <c r="F33" s="260"/>
      <c r="G33" s="262"/>
      <c r="H33" s="291"/>
      <c r="I33" s="290"/>
      <c r="J33" s="265" t="s">
        <v>97</v>
      </c>
      <c r="K33" s="287"/>
      <c r="L33" s="284" t="s">
        <v>88</v>
      </c>
      <c r="M33" s="78"/>
      <c r="N33" s="266" t="s">
        <v>99</v>
      </c>
      <c r="O33" s="289"/>
      <c r="P33" s="291"/>
      <c r="Q33" s="262"/>
      <c r="R33" s="244"/>
      <c r="U33" s="81"/>
    </row>
    <row r="34" spans="5:21" ht="15" customHeight="1" x14ac:dyDescent="0.25">
      <c r="E34" s="244"/>
      <c r="F34" s="260"/>
      <c r="G34" s="262"/>
      <c r="H34" s="291"/>
      <c r="I34" s="290"/>
      <c r="J34" s="265"/>
      <c r="K34" s="287"/>
      <c r="L34" s="285"/>
      <c r="M34" s="78"/>
      <c r="N34" s="266"/>
      <c r="O34" s="289"/>
      <c r="P34" s="291"/>
      <c r="Q34" s="262"/>
      <c r="R34" s="244"/>
      <c r="U34" s="81"/>
    </row>
    <row r="35" spans="5:21" ht="15" customHeight="1" x14ac:dyDescent="0.25">
      <c r="E35" s="244"/>
      <c r="F35" s="260"/>
      <c r="G35" s="262"/>
      <c r="H35" s="291"/>
      <c r="I35" s="290"/>
      <c r="J35" s="140"/>
      <c r="K35" s="287"/>
      <c r="L35" s="77"/>
      <c r="M35" s="78"/>
      <c r="N35" s="79"/>
      <c r="O35" s="289"/>
      <c r="P35" s="291"/>
      <c r="Q35" s="262"/>
      <c r="R35" s="244"/>
      <c r="U35" s="81"/>
    </row>
    <row r="36" spans="5:21" ht="15" customHeight="1" x14ac:dyDescent="0.25">
      <c r="E36" s="244"/>
      <c r="F36" s="260"/>
      <c r="G36" s="262">
        <f>'Wyniki graficzne wiatr II'!G32</f>
        <v>8</v>
      </c>
      <c r="H36" s="291">
        <f t="array" ref="H36">IF(O8="T",INDEX(F84:F100,MATCH(TRUE,E84:E100&gt;=I67,0)),IF(O8="W",INDEX(M84:M100,MATCH(TRUE,L84:L100&gt;=I67,0)),IF(O8="H",INDEX(T84:T103,MATCH(TRUE,S84:S103&gt;=I67,0)),0)))</f>
        <v>2</v>
      </c>
      <c r="I36" s="290">
        <f t="array" ref="I36">IF(O8="T",INDEX(G84:G100,MATCH(TRUE,E84:E100&gt;=I67,0)),IF(O8="W",INDEX(N84:N100,MATCH(TRUE,L84:L100&gt;=I67,0)),IF(O8="H",INDEX(U84:U103,MATCH(TRUE,S84:S103&gt;=I67,0)),0)))</f>
        <v>5</v>
      </c>
      <c r="J36" s="80"/>
      <c r="K36" s="287"/>
      <c r="L36" s="77"/>
      <c r="M36" s="78"/>
      <c r="N36" s="79"/>
      <c r="O36" s="289">
        <f t="array" ref="O36">IF(O8="T",INDEX(G84:G100,MATCH(TRUE,E84:E100&gt;=O67,0)),IF(O8="W",INDEX(N84:N100,MATCH(TRUE,L84:L100&gt;=O67,0)),IF(O8="H",INDEX(U84:U103,MATCH(TRUE,S84:S103&gt;=O67,0)),0)))</f>
        <v>5</v>
      </c>
      <c r="P36" s="291">
        <f t="array" ref="P36">IF(O8="T",INDEX(F84:F100,MATCH(TRUE,E84:E100&gt;=O67,0)),IF(O8="W",INDEX(M84:M100,MATCH(TRUE,L84:L100&gt;=O67,0)),IF(O8="H",INDEX(T84:T103,MATCH(TRUE,S84:S103&gt;=O67,0)),0)))</f>
        <v>2</v>
      </c>
      <c r="Q36" s="262" t="str">
        <f>'Wyniki graficzne wiatr II'!Q32</f>
        <v/>
      </c>
      <c r="R36" s="244"/>
    </row>
    <row r="37" spans="5:21" ht="15" customHeight="1" x14ac:dyDescent="0.25">
      <c r="E37" s="244"/>
      <c r="F37" s="260"/>
      <c r="G37" s="262"/>
      <c r="H37" s="291"/>
      <c r="I37" s="290"/>
      <c r="J37" s="271"/>
      <c r="K37" s="287"/>
      <c r="L37" s="77"/>
      <c r="M37" s="78"/>
      <c r="N37" s="79"/>
      <c r="O37" s="289"/>
      <c r="P37" s="291"/>
      <c r="Q37" s="262"/>
      <c r="R37" s="244"/>
    </row>
    <row r="38" spans="5:21" ht="15" customHeight="1" x14ac:dyDescent="0.25">
      <c r="E38" s="244"/>
      <c r="F38" s="260"/>
      <c r="G38" s="262"/>
      <c r="H38" s="291"/>
      <c r="I38" s="290"/>
      <c r="J38" s="271"/>
      <c r="K38" s="287"/>
      <c r="L38" s="77"/>
      <c r="M38" s="78"/>
      <c r="N38" s="79"/>
      <c r="O38" s="289"/>
      <c r="P38" s="291"/>
      <c r="Q38" s="262"/>
      <c r="R38" s="244"/>
    </row>
    <row r="39" spans="5:21" ht="15" customHeight="1" x14ac:dyDescent="0.25">
      <c r="E39" s="244"/>
      <c r="F39" s="260"/>
      <c r="G39" s="262"/>
      <c r="H39" s="291"/>
      <c r="I39" s="290"/>
      <c r="J39" s="80"/>
      <c r="K39" s="287"/>
      <c r="L39" s="77"/>
      <c r="M39" s="78"/>
      <c r="N39" s="79"/>
      <c r="O39" s="289"/>
      <c r="P39" s="291"/>
      <c r="Q39" s="262"/>
      <c r="R39" s="244"/>
    </row>
    <row r="40" spans="5:21" ht="15" customHeight="1" x14ac:dyDescent="0.25">
      <c r="E40" s="244"/>
      <c r="F40" s="260"/>
      <c r="G40" s="262">
        <f>'Wyniki graficzne wiatr II'!G36</f>
        <v>2</v>
      </c>
      <c r="H40" s="291">
        <f t="array" ref="H40">IF(O8="T",INDEX(F84:F100,MATCH(TRUE,E84:E100&gt;=I68,0)),IF(O8="W",INDEX(M84:M100,MATCH(TRUE,L84:L100&gt;=I68,0)),IF(O8="H",INDEX(T84:T103,MATCH(TRUE,S84:S103&gt;=I68,0)),0)))</f>
        <v>2</v>
      </c>
      <c r="I40" s="290">
        <f t="array" ref="I40">IF(O8="T",INDEX(G84:G100,MATCH(TRUE,E84:E100&gt;=I68,0)),IF(O8="W",INDEX(N84:N100,MATCH(TRUE,L84:L100&gt;=I68,0)),IF(O8="H",INDEX(U84:U103,MATCH(TRUE,S84:S103&gt;=I68,0)),0)))</f>
        <v>5</v>
      </c>
      <c r="J40" s="80"/>
      <c r="K40" s="287"/>
      <c r="L40" s="77"/>
      <c r="M40" s="78"/>
      <c r="N40" s="79"/>
      <c r="O40" s="289">
        <f t="array" ref="O40">IF(O8="T",INDEX(G84:G100,MATCH(TRUE,E84:E100&gt;=O68,0)),IF(O8="W",INDEX(N84:N100,MATCH(TRUE,L84:L100&gt;=O68,0)),IF(O8="H",INDEX(U84:U103,MATCH(TRUE,S84:S103&gt;=O68,0)),0)))</f>
        <v>5</v>
      </c>
      <c r="P40" s="291">
        <f t="array" ref="P40">IF(O8="T",INDEX(F84:F100,MATCH(TRUE,E84:E100&gt;=O68,0)),IF(O8="W",INDEX(M84:M100,MATCH(TRUE,L84:L100&gt;=O68,0)),IF(O8="H",INDEX(T84:T103,MATCH(TRUE,S84:S103&gt;=O68,0)),0)))</f>
        <v>2</v>
      </c>
      <c r="Q40" s="262">
        <f>'Wyniki graficzne wiatr II'!Q36</f>
        <v>2</v>
      </c>
      <c r="R40" s="244"/>
    </row>
    <row r="41" spans="5:21" ht="15" customHeight="1" x14ac:dyDescent="0.25">
      <c r="E41" s="244"/>
      <c r="F41" s="260"/>
      <c r="G41" s="262"/>
      <c r="H41" s="291"/>
      <c r="I41" s="290"/>
      <c r="J41" s="271"/>
      <c r="K41" s="287"/>
      <c r="L41" s="77"/>
      <c r="M41" s="78"/>
      <c r="N41" s="79"/>
      <c r="O41" s="289"/>
      <c r="P41" s="291"/>
      <c r="Q41" s="262"/>
      <c r="R41" s="244"/>
    </row>
    <row r="42" spans="5:21" ht="15" customHeight="1" x14ac:dyDescent="0.25">
      <c r="E42" s="244"/>
      <c r="F42" s="260"/>
      <c r="G42" s="262"/>
      <c r="H42" s="291"/>
      <c r="I42" s="290"/>
      <c r="J42" s="271"/>
      <c r="K42" s="287"/>
      <c r="L42" s="77"/>
      <c r="M42" s="78"/>
      <c r="N42" s="79"/>
      <c r="O42" s="289"/>
      <c r="P42" s="291"/>
      <c r="Q42" s="262"/>
      <c r="R42" s="244"/>
    </row>
    <row r="43" spans="5:21" ht="15.75" customHeight="1" thickBot="1" x14ac:dyDescent="0.3">
      <c r="E43" s="244"/>
      <c r="F43" s="260"/>
      <c r="G43" s="262"/>
      <c r="H43" s="291"/>
      <c r="I43" s="290"/>
      <c r="J43" s="83"/>
      <c r="K43" s="288"/>
      <c r="L43" s="88" t="s">
        <v>100</v>
      </c>
      <c r="M43" s="84"/>
      <c r="N43" s="85"/>
      <c r="O43" s="289"/>
      <c r="P43" s="291"/>
      <c r="Q43" s="262"/>
      <c r="R43" s="244"/>
    </row>
    <row r="44" spans="5:21" ht="15.75" customHeight="1" thickTop="1" x14ac:dyDescent="0.25">
      <c r="H44" s="191"/>
      <c r="I44" s="292" t="s">
        <v>269</v>
      </c>
      <c r="J44" s="295">
        <f t="array" ref="J44">IF(O8="T",INDEX(G84:G100,MATCH(TRUE,E84:E100&gt;=J69,0)),IF(O8="W",INDEX(N84:N100,MATCH(TRUE,L84:L100&gt;=J69,0)),IF(O8="H",INDEX(U84:U103,MATCH(TRUE,S84:S103&gt;=J69,0)),0)))</f>
        <v>8</v>
      </c>
      <c r="K44" s="295">
        <f t="array" ref="K44">IF(O8="T",INDEX(G84:G100,MATCH(TRUE,E84:E100&gt;=K69,0)),IF(O8="W",INDEX(N84:N100,MATCH(TRUE,L84:L100&gt;=K69,0)),IF(O8="H",INDEX(U84:U103,MATCH(TRUE,S84:S103&gt;=K69,0)),0)))</f>
        <v>8</v>
      </c>
      <c r="L44" s="295">
        <f t="array" ref="L44">IF(O8="T",INDEX(G84:G100,MATCH(TRUE,E84:E100&gt;=L69,0)),IF(O8="W",INDEX(N84:N100,MATCH(TRUE,L84:L100&gt;=L69,0)),IF(O8="H",INDEX(U84:U103,MATCH(TRUE,S84:S103&gt;=L69,0)),0)))</f>
        <v>6</v>
      </c>
      <c r="M44" s="295">
        <f t="array" ref="M44">IF(O8="T",INDEX(G84:G100,MATCH(TRUE,E84:E100&gt;=M69,0)),IF(O8="W",INDEX(N84:N100,MATCH(TRUE,L84:L100&gt;=M69,0)),IF(O8="H",INDEX(U84:U103,MATCH(TRUE,S84:S103&gt;=M69,0)),0)))</f>
        <v>6</v>
      </c>
      <c r="N44" s="295">
        <f t="array" ref="N44">IF(O8="T",INDEX(G84:G100,MATCH(TRUE,E84:E100&gt;=N69,0)),IF(O8="W",INDEX(N84:N100,MATCH(TRUE,L84:L100&gt;=N69,0)),IF(O8="H",INDEX(U84:U103,MATCH(TRUE,S84:S103&gt;=N69,0)),0)))</f>
        <v>6</v>
      </c>
      <c r="O44" s="187"/>
      <c r="P44" s="185"/>
    </row>
    <row r="45" spans="5:21" ht="15" customHeight="1" x14ac:dyDescent="0.25">
      <c r="I45" s="292"/>
      <c r="J45" s="296"/>
      <c r="K45" s="296"/>
      <c r="L45" s="296"/>
      <c r="M45" s="296"/>
      <c r="N45" s="296"/>
      <c r="O45" s="188"/>
    </row>
    <row r="46" spans="5:21" ht="15" customHeight="1" x14ac:dyDescent="0.25">
      <c r="I46" s="292"/>
      <c r="J46" s="296"/>
      <c r="K46" s="296"/>
      <c r="L46" s="296"/>
      <c r="M46" s="296"/>
      <c r="N46" s="296"/>
      <c r="O46" s="188"/>
    </row>
    <row r="47" spans="5:21" ht="15" customHeight="1" x14ac:dyDescent="0.25">
      <c r="I47" s="292" t="s">
        <v>264</v>
      </c>
      <c r="J47" s="291">
        <f t="array" ref="J47">IF(O8="T",INDEX(F84:F100,MATCH(TRUE,E84:E100&gt;=J69,0)),IF(O8="W",INDEX(M84:M100,MATCH(TRUE,L84:L100&gt;=J69,0)),IF(O8="H",INDEX(T84:T103,MATCH(TRUE,S84:S103&gt;=J69,0)),0)))</f>
        <v>5</v>
      </c>
      <c r="K47" s="291">
        <f t="array" ref="K47">IF(O8="T",INDEX(F84:F100,MATCH(TRUE,E84:E100&gt;=K69,0)),IF(O8="W",INDEX(M84:M100,MATCH(TRUE,L84:L100&gt;=K69,0)),IF(O8="H",INDEX(T84:T103,MATCH(TRUE,S84:S103&gt;=K69,0)),0)))</f>
        <v>5</v>
      </c>
      <c r="L47" s="298">
        <f t="array" ref="L47">IF(O8="T",INDEX(F84:F100,MATCH(TRUE,E84:E100&gt;=L69,0)),IF(O8="W",INDEX(M84:M100,MATCH(TRUE,L84:L100&gt;=L69,0)),IF(O8="H",INDEX(T84:T103,MATCH(TRUE,S84:S103&gt;=L69,0)),0)))</f>
        <v>3</v>
      </c>
      <c r="M47" s="291">
        <f t="array" ref="M47">IF(O8="T",INDEX(F84:F100,MATCH(TRUE,E84:E100&gt;=M69,0)),IF(O8="W",INDEX(M84:M100,MATCH(TRUE,L84:L100&gt;=M69,0)),IF(O8="H",INDEX(T84:T103,MATCH(TRUE,S84:S103&gt;=M69,0)),0)))</f>
        <v>3</v>
      </c>
      <c r="N47" s="291">
        <f t="array" ref="N47">IF(O8="T",INDEX(F84:F100,MATCH(TRUE,E84:E100&gt;=N69,0)),IF(O8="W",INDEX(M84:M100,MATCH(TRUE,L84:L100&gt;=N69,0)),IF(O8="H",INDEX(T84:T103,MATCH(TRUE,S84:S103&gt;=N69,0)),0)))</f>
        <v>3</v>
      </c>
      <c r="O47" s="188"/>
    </row>
    <row r="48" spans="5:21" ht="15" customHeight="1" x14ac:dyDescent="0.25">
      <c r="I48" s="292"/>
      <c r="J48" s="291"/>
      <c r="K48" s="291"/>
      <c r="L48" s="298"/>
      <c r="M48" s="291"/>
      <c r="N48" s="291"/>
      <c r="O48" s="188"/>
    </row>
    <row r="49" spans="9:15" x14ac:dyDescent="0.25">
      <c r="I49" s="297" t="s">
        <v>180</v>
      </c>
      <c r="J49" s="262">
        <f>'Wyniki graficzne wiatr II'!J45</f>
        <v>5.6</v>
      </c>
      <c r="K49" s="262" t="str">
        <f>'Wyniki graficzne wiatr II'!K45</f>
        <v/>
      </c>
      <c r="L49" s="262">
        <f>'Wyniki graficzne wiatr II'!L45</f>
        <v>4.4000000000000004</v>
      </c>
      <c r="M49" s="262" t="str">
        <f>'Wyniki graficzne wiatr II'!M45</f>
        <v/>
      </c>
      <c r="N49" s="262" t="str">
        <f>'Wyniki graficzne wiatr II'!N45</f>
        <v/>
      </c>
    </row>
    <row r="50" spans="9:15" x14ac:dyDescent="0.25">
      <c r="I50" s="297"/>
      <c r="J50" s="262"/>
      <c r="K50" s="262"/>
      <c r="L50" s="262"/>
      <c r="M50" s="262"/>
      <c r="N50" s="262"/>
    </row>
    <row r="51" spans="9:15" x14ac:dyDescent="0.25">
      <c r="I51" s="297"/>
      <c r="J51" s="262"/>
      <c r="K51" s="262"/>
      <c r="L51" s="262"/>
      <c r="M51" s="262"/>
      <c r="N51" s="262"/>
    </row>
    <row r="52" spans="9:15" x14ac:dyDescent="0.25">
      <c r="I52" s="297"/>
      <c r="J52" s="262"/>
      <c r="K52" s="262"/>
      <c r="L52" s="262"/>
      <c r="M52" s="262"/>
      <c r="N52" s="262"/>
    </row>
    <row r="53" spans="9:15" ht="15" customHeight="1" x14ac:dyDescent="0.25">
      <c r="I53" s="86"/>
      <c r="J53" s="262" t="str">
        <f>TEXT(N75+N76+N77,"####0,0##")&amp;" m"</f>
        <v>10,0 m</v>
      </c>
      <c r="K53" s="262"/>
      <c r="L53" s="262"/>
      <c r="M53" s="262"/>
      <c r="N53" s="262"/>
      <c r="O53" s="86"/>
    </row>
    <row r="54" spans="9:15" ht="15" customHeight="1" x14ac:dyDescent="0.25">
      <c r="I54" s="86"/>
      <c r="J54" s="262"/>
      <c r="K54" s="262"/>
      <c r="L54" s="262"/>
      <c r="M54" s="262"/>
      <c r="N54" s="262"/>
      <c r="O54" s="86"/>
    </row>
    <row r="55" spans="9:15" ht="15" customHeight="1" x14ac:dyDescent="0.25">
      <c r="I55" s="86"/>
      <c r="J55" s="262"/>
      <c r="K55" s="262"/>
      <c r="L55" s="262"/>
      <c r="M55" s="262"/>
      <c r="N55" s="262"/>
      <c r="O55" s="86"/>
    </row>
    <row r="56" spans="9:15" ht="15" customHeight="1" x14ac:dyDescent="0.25">
      <c r="I56" s="86"/>
      <c r="J56" s="282" t="str">
        <f>"Wysokość  ze = "&amp;TEXT('Obliczenia wiatr II'!E42,"####0,0##")&amp;" m"</f>
        <v>Wysokość  ze = 25,0 m</v>
      </c>
      <c r="K56" s="282"/>
      <c r="L56" s="282"/>
      <c r="M56" s="282"/>
      <c r="N56" s="282"/>
      <c r="O56" s="86"/>
    </row>
    <row r="57" spans="9:15" ht="15" customHeight="1" x14ac:dyDescent="0.25">
      <c r="I57" s="86"/>
      <c r="J57" s="282"/>
      <c r="K57" s="282"/>
      <c r="L57" s="282"/>
      <c r="M57" s="282"/>
      <c r="N57" s="282"/>
      <c r="O57" s="86"/>
    </row>
    <row r="58" spans="9:15" ht="15" customHeight="1" x14ac:dyDescent="0.25">
      <c r="I58" s="86"/>
      <c r="J58" s="282"/>
      <c r="K58" s="282"/>
      <c r="L58" s="282"/>
      <c r="M58" s="282"/>
      <c r="N58" s="282"/>
      <c r="O58" s="86"/>
    </row>
    <row r="61" spans="9:15" x14ac:dyDescent="0.25">
      <c r="J61" s="293" t="s">
        <v>267</v>
      </c>
      <c r="K61" s="293"/>
      <c r="L61" s="293"/>
      <c r="M61" s="293"/>
      <c r="N61" s="293"/>
    </row>
    <row r="63" spans="9:15" x14ac:dyDescent="0.25">
      <c r="J63" s="6">
        <f>(1-O10/100)*'Wyniki graficzne wiatr II'!J15</f>
        <v>2.0750843044738478</v>
      </c>
      <c r="K63" s="6">
        <f>(1-O10/100)*'Wyniki graficzne wiatr II'!K15</f>
        <v>2.0750843044738478</v>
      </c>
      <c r="L63" s="6">
        <f>(1-O10/100)*'Wyniki graficzne wiatr II'!L15</f>
        <v>1.6304233820865948</v>
      </c>
      <c r="M63" s="6">
        <f>(1-O10/100)*'Wyniki graficzne wiatr II'!M15</f>
        <v>1.6304233820865948</v>
      </c>
      <c r="N63" s="6">
        <f>(1-O10/100)*'Wyniki graficzne wiatr II'!N15</f>
        <v>1.6304233820865948</v>
      </c>
    </row>
    <row r="64" spans="9:15" x14ac:dyDescent="0.25">
      <c r="I64" s="6">
        <f>(1-O10/100)*'Wyniki graficzne wiatr II'!H20</f>
        <v>2.0750843044738478</v>
      </c>
      <c r="O64" s="6">
        <f>(1-O10/100)*'Wyniki graficzne wiatr II'!O20</f>
        <v>2.0750843044738478</v>
      </c>
    </row>
    <row r="65" spans="2:21" x14ac:dyDescent="0.25">
      <c r="I65" s="6">
        <f>(1-O10/100)*'Wyniki graficzne wiatr II'!H24</f>
        <v>1.6304233820865948</v>
      </c>
      <c r="O65" s="6">
        <f>(1-O10/100)*'Wyniki graficzne wiatr II'!O24</f>
        <v>1.6304233820865948</v>
      </c>
    </row>
    <row r="66" spans="2:21" x14ac:dyDescent="0.25">
      <c r="I66" s="6">
        <f>(1-O10/100)*'Wyniki graficzne wiatr II'!H28</f>
        <v>0.74110153731208861</v>
      </c>
      <c r="O66" s="6">
        <f>(1-O10/100)*'Wyniki graficzne wiatr II'!O28</f>
        <v>0.85226676790890177</v>
      </c>
    </row>
    <row r="67" spans="2:21" x14ac:dyDescent="0.25">
      <c r="I67" s="6">
        <f>(1-O10/100)*'Wyniki graficzne wiatr II'!H32</f>
        <v>0.79890745722243151</v>
      </c>
      <c r="O67" s="6">
        <f>(1-O10/100)*'Wyniki graficzne wiatr II'!O32</f>
        <v>0.85226676790890177</v>
      </c>
    </row>
    <row r="68" spans="2:21" x14ac:dyDescent="0.25">
      <c r="I68" s="6">
        <f>(1-O10/100)*'Wyniki graficzne wiatr II'!H36</f>
        <v>1.0167913091921854</v>
      </c>
      <c r="O68" s="6">
        <f>(1-O10/100)*'Wyniki graficzne wiatr II'!O36</f>
        <v>1.0167913091921854</v>
      </c>
    </row>
    <row r="69" spans="2:21" x14ac:dyDescent="0.25">
      <c r="J69" s="6">
        <f>(1-O10/100)*'Wyniki graficzne wiatr II'!J40</f>
        <v>2.0750843044738478</v>
      </c>
      <c r="K69" s="6">
        <f>(1-O10/100)*'Wyniki graficzne wiatr II'!K40</f>
        <v>2.0750843044738478</v>
      </c>
      <c r="L69" s="6">
        <f>(1-O10/100)*'Wyniki graficzne wiatr II'!L40</f>
        <v>1.6304233820865948</v>
      </c>
      <c r="M69" s="6">
        <f>(1-O10/100)*'Wyniki graficzne wiatr II'!M40</f>
        <v>1.6304233820865948</v>
      </c>
      <c r="N69" s="6">
        <f>(1-O10/100)*'Wyniki graficzne wiatr II'!N40</f>
        <v>1.6304233820865948</v>
      </c>
    </row>
    <row r="71" spans="2:21" x14ac:dyDescent="0.25">
      <c r="B71" s="139"/>
      <c r="H71" s="29"/>
      <c r="I71" s="29"/>
      <c r="J71" s="29"/>
      <c r="K71" s="29"/>
      <c r="L71" s="29"/>
      <c r="M71" s="29"/>
    </row>
    <row r="72" spans="2:21" x14ac:dyDescent="0.25">
      <c r="J72" s="294" t="s">
        <v>96</v>
      </c>
      <c r="K72" s="294"/>
      <c r="L72" s="294"/>
      <c r="M72" s="294"/>
      <c r="N72" s="294"/>
    </row>
    <row r="74" spans="2:21" x14ac:dyDescent="0.25">
      <c r="K74" s="13" t="s">
        <v>97</v>
      </c>
      <c r="L74" s="19" t="s">
        <v>98</v>
      </c>
      <c r="M74" s="13" t="s">
        <v>99</v>
      </c>
      <c r="N74" s="13" t="s">
        <v>100</v>
      </c>
    </row>
    <row r="75" spans="2:21" x14ac:dyDescent="0.25">
      <c r="H75" s="16"/>
      <c r="J75" s="13" t="s">
        <v>101</v>
      </c>
      <c r="K75">
        <f>'Obliczenia wiatr II'!D35</f>
        <v>2</v>
      </c>
      <c r="L75">
        <f>'Obliczenia wiatr II'!E35</f>
        <v>5.6</v>
      </c>
      <c r="M75">
        <f>'Obliczenia wiatr II'!F35</f>
        <v>2</v>
      </c>
      <c r="N75">
        <f>'Obliczenia wiatr II'!G35</f>
        <v>5.6</v>
      </c>
      <c r="R75" s="16"/>
      <c r="S75" s="16"/>
      <c r="T75" s="16"/>
      <c r="U75" s="16"/>
    </row>
    <row r="76" spans="2:21" x14ac:dyDescent="0.25">
      <c r="H76" s="16"/>
      <c r="J76" s="13" t="s">
        <v>102</v>
      </c>
      <c r="K76">
        <f>'Obliczenia wiatr II'!D36</f>
        <v>8</v>
      </c>
      <c r="L76">
        <f>'Obliczenia wiatr II'!E36</f>
        <v>4.4000000000000004</v>
      </c>
      <c r="M76">
        <f>'Obliczenia wiatr II'!F36</f>
        <v>8</v>
      </c>
      <c r="N76">
        <f>'Obliczenia wiatr II'!G36</f>
        <v>4.4000000000000004</v>
      </c>
      <c r="R76" s="16"/>
      <c r="S76" s="16"/>
      <c r="T76" s="16"/>
      <c r="U76" s="16"/>
    </row>
    <row r="77" spans="2:21" x14ac:dyDescent="0.25">
      <c r="H77" s="16"/>
      <c r="J77" s="13" t="s">
        <v>103</v>
      </c>
      <c r="K77" s="18">
        <f>'Obliczenia wiatr II'!D37</f>
        <v>18</v>
      </c>
      <c r="L77" s="18">
        <f>'Obliczenia wiatr II'!E37</f>
        <v>0</v>
      </c>
      <c r="M77" s="18">
        <f>'Obliczenia wiatr II'!F37</f>
        <v>18</v>
      </c>
      <c r="N77" s="18">
        <f>'Obliczenia wiatr II'!G37</f>
        <v>0</v>
      </c>
    </row>
    <row r="78" spans="2:21" x14ac:dyDescent="0.25">
      <c r="H78" s="16"/>
      <c r="J78" s="13"/>
    </row>
    <row r="79" spans="2:21" x14ac:dyDescent="0.25">
      <c r="H79" s="16"/>
      <c r="J79" s="13" t="s">
        <v>104</v>
      </c>
      <c r="K79" s="18">
        <f>'Obliczenia wiatr II'!D29</f>
        <v>10</v>
      </c>
      <c r="L79" s="18">
        <f>'Obliczenia wiatr II'!E29</f>
        <v>28</v>
      </c>
      <c r="M79" s="18">
        <f>'Obliczenia wiatr II'!F29</f>
        <v>10</v>
      </c>
      <c r="N79" s="18">
        <f>'Obliczenia wiatr II'!G29</f>
        <v>28</v>
      </c>
    </row>
    <row r="81" spans="2:21" x14ac:dyDescent="0.25">
      <c r="B81" s="293" t="s">
        <v>268</v>
      </c>
      <c r="C81" s="293"/>
      <c r="D81" s="293"/>
      <c r="E81" s="293"/>
      <c r="F81" s="293"/>
      <c r="G81" s="293"/>
      <c r="I81" s="293" t="s">
        <v>270</v>
      </c>
      <c r="J81" s="293"/>
      <c r="K81" s="293"/>
      <c r="L81" s="293"/>
      <c r="M81" s="293"/>
      <c r="N81" s="293"/>
      <c r="P81" s="293" t="s">
        <v>271</v>
      </c>
      <c r="Q81" s="293"/>
      <c r="R81" s="293"/>
      <c r="S81" s="293"/>
      <c r="T81" s="293"/>
      <c r="U81" s="293"/>
    </row>
    <row r="83" spans="2:21" x14ac:dyDescent="0.25">
      <c r="B83" t="s">
        <v>264</v>
      </c>
      <c r="C83" t="s">
        <v>265</v>
      </c>
      <c r="D83" t="s">
        <v>266</v>
      </c>
      <c r="E83" t="s">
        <v>266</v>
      </c>
      <c r="F83" t="s">
        <v>264</v>
      </c>
      <c r="G83" t="s">
        <v>265</v>
      </c>
      <c r="I83" t="s">
        <v>264</v>
      </c>
      <c r="J83" t="s">
        <v>265</v>
      </c>
      <c r="K83" t="s">
        <v>266</v>
      </c>
      <c r="L83" t="s">
        <v>266</v>
      </c>
      <c r="M83" t="s">
        <v>264</v>
      </c>
      <c r="N83" t="s">
        <v>265</v>
      </c>
      <c r="P83" t="s">
        <v>264</v>
      </c>
      <c r="Q83" t="s">
        <v>265</v>
      </c>
      <c r="R83" t="s">
        <v>266</v>
      </c>
      <c r="S83" t="s">
        <v>266</v>
      </c>
      <c r="T83" t="s">
        <v>264</v>
      </c>
      <c r="U83" t="s">
        <v>265</v>
      </c>
    </row>
    <row r="84" spans="2:21" x14ac:dyDescent="0.25">
      <c r="B84">
        <v>1</v>
      </c>
      <c r="C84" s="2">
        <f>'Obliczenia nośności T'!$D$13</f>
        <v>4</v>
      </c>
      <c r="D84" s="2">
        <f>IF($C$84&lt;$O$9,0,'Obliczenia nośności T'!$D$29)</f>
        <v>0</v>
      </c>
      <c r="E84" s="2">
        <f>SMALL(D84:D100,1)</f>
        <v>0</v>
      </c>
      <c r="F84">
        <f>INDEX(B84:B100,MATCH(E84,D84:D100,))</f>
        <v>1</v>
      </c>
      <c r="G84" s="18">
        <f>INDEX(C84:C100,MATCH(E84,D84:D100,))</f>
        <v>4</v>
      </c>
      <c r="I84">
        <v>1</v>
      </c>
      <c r="J84" s="2">
        <f>'Obliczenia nośności W'!$D$13</f>
        <v>3.3333333333333335</v>
      </c>
      <c r="K84" s="2">
        <f>IF($J$84&lt;$O$9,0,'Obliczenia nośności W'!$D$29)</f>
        <v>0</v>
      </c>
      <c r="L84" s="2">
        <f>SMALL(K84:K100,1)</f>
        <v>0</v>
      </c>
      <c r="M84">
        <f>INDEX(I84:I100,MATCH(L84,K84:K100,))</f>
        <v>1</v>
      </c>
      <c r="N84" s="18">
        <f>INDEX(J84:J100,MATCH(L84,K84:K100,))</f>
        <v>3.3333333333333335</v>
      </c>
      <c r="P84">
        <v>1</v>
      </c>
      <c r="Q84" s="2">
        <f>'Obliczenia nośności H'!$D$27</f>
        <v>4.166666666666667</v>
      </c>
      <c r="R84" s="2">
        <f>IF($Q$84&lt;$O$9,0,'Obliczenia nośności H'!$D$43)</f>
        <v>0</v>
      </c>
      <c r="S84" s="2">
        <f>SMALL(R84:R103,1)</f>
        <v>0</v>
      </c>
      <c r="T84">
        <f>INDEX(P84:P103,MATCH(S84,R84:R103,))</f>
        <v>1</v>
      </c>
      <c r="U84" s="18">
        <f>INDEX(Q84:Q103,MATCH(S84,R84:R103,))</f>
        <v>4.166666666666667</v>
      </c>
    </row>
    <row r="85" spans="2:21" x14ac:dyDescent="0.25">
      <c r="B85">
        <v>2</v>
      </c>
      <c r="C85" s="2">
        <f>'Obliczenia nośności T'!$E$13</f>
        <v>5</v>
      </c>
      <c r="D85" s="2">
        <f>IF($C$85&lt;$O$9,0,'Obliczenia nośności T'!$E$29)</f>
        <v>1.36</v>
      </c>
      <c r="E85" s="2">
        <f>SMALL(D84:D100,2)</f>
        <v>1.36</v>
      </c>
      <c r="F85">
        <f>INDEX(B84:B100,MATCH(E85,D84:D100,))</f>
        <v>2</v>
      </c>
      <c r="G85" s="18">
        <f>INDEX(C84:C100,MATCH(E85,D84:D100,))</f>
        <v>5</v>
      </c>
      <c r="I85">
        <v>2</v>
      </c>
      <c r="J85" s="2">
        <f>'Obliczenia nośności W'!$E$13</f>
        <v>4.166666666666667</v>
      </c>
      <c r="K85" s="2">
        <f>IF($J$85&lt;$O$9,0,'Obliczenia nośności W'!$E$29)</f>
        <v>0</v>
      </c>
      <c r="L85" s="2">
        <f>SMALL(K84:K100,2)</f>
        <v>0</v>
      </c>
      <c r="M85">
        <f>INDEX(I84:I100,MATCH(L85,K84:K100,))</f>
        <v>1</v>
      </c>
      <c r="N85" s="18">
        <f>INDEX(J84:J100,MATCH(L85,K84:K100,))</f>
        <v>3.3333333333333335</v>
      </c>
      <c r="P85">
        <v>2</v>
      </c>
      <c r="Q85" s="2">
        <f>'Obliczenia nośności H'!$E$27</f>
        <v>5.2083333333333339</v>
      </c>
      <c r="R85" s="2">
        <f>IF($Q$85&lt;$O$9,0,'Obliczenia nośności H'!$E$43)</f>
        <v>1.484375</v>
      </c>
      <c r="S85" s="2">
        <f>SMALL(R84:R103,2)</f>
        <v>0</v>
      </c>
      <c r="T85">
        <f>INDEX(P84:P103,MATCH(S85,R84:R103,))</f>
        <v>1</v>
      </c>
      <c r="U85" s="18">
        <f>INDEX(Q84:Q103,MATCH(S85,R84:R103,))</f>
        <v>4.166666666666667</v>
      </c>
    </row>
    <row r="86" spans="2:21" x14ac:dyDescent="0.25">
      <c r="B86">
        <v>3</v>
      </c>
      <c r="C86" s="2">
        <f>'Obliczenia nośności T'!$F$13</f>
        <v>6</v>
      </c>
      <c r="D86" s="2">
        <f>IF($C$86&lt;$O$9,0,'Obliczenia nośności T'!$F$29)</f>
        <v>1.6800000000000002</v>
      </c>
      <c r="E86" s="2">
        <f>SMALL(D84:D100,3)</f>
        <v>1.6800000000000002</v>
      </c>
      <c r="F86">
        <f>INDEX(B84:B100,MATCH(E86,D84:D100,))</f>
        <v>3</v>
      </c>
      <c r="G86" s="18">
        <f>INDEX(C84:C100,MATCH(E86,D84:D100,))</f>
        <v>6</v>
      </c>
      <c r="I86">
        <v>3</v>
      </c>
      <c r="J86" s="2">
        <f>'Obliczenia nośności W'!$F$13</f>
        <v>5</v>
      </c>
      <c r="K86" s="2">
        <f>IF($J$86&lt;$O$9,0,'Obliczenia nośności W'!$F$29)</f>
        <v>0.92500000000000004</v>
      </c>
      <c r="L86" s="2">
        <f>SMALL(K84:K100,3)</f>
        <v>0</v>
      </c>
      <c r="M86">
        <f>INDEX(I84:I100,MATCH(L86,K84:K100,))</f>
        <v>1</v>
      </c>
      <c r="N86" s="18">
        <f>INDEX(J84:J100,MATCH(L86,K84:K100,))</f>
        <v>3.3333333333333335</v>
      </c>
      <c r="P86">
        <v>3</v>
      </c>
      <c r="Q86" s="2">
        <f>'Obliczenia nośności H'!$F$27</f>
        <v>6.25</v>
      </c>
      <c r="R86" s="2">
        <f>IF($Q$86&lt;$O$9,0,'Obliczenia nośności H'!$F$43)</f>
        <v>1.78125</v>
      </c>
      <c r="S86" s="2">
        <f>SMALL(R84:R103,3)</f>
        <v>1.484375</v>
      </c>
      <c r="T86">
        <f>INDEX(P84:P103,MATCH(S86,R84:R103,))</f>
        <v>2</v>
      </c>
      <c r="U86" s="18">
        <f>INDEX(Q84:Q103,MATCH(S86,R84:R103,))</f>
        <v>5.2083333333333339</v>
      </c>
    </row>
    <row r="87" spans="2:21" x14ac:dyDescent="0.25">
      <c r="B87">
        <v>4</v>
      </c>
      <c r="C87" s="2">
        <f>'Obliczenia nośności T'!$G$13</f>
        <v>7</v>
      </c>
      <c r="D87" s="2">
        <f>IF($C$87&lt;$O$9,0,'Obliczenia nośności T'!$G$29)</f>
        <v>2</v>
      </c>
      <c r="E87" s="2">
        <f>SMALL(D84:D100,4)</f>
        <v>2</v>
      </c>
      <c r="F87">
        <f>INDEX(B84:B100,MATCH(E87,D84:D100,))</f>
        <v>4</v>
      </c>
      <c r="G87" s="18">
        <f>INDEX(C84:C100,MATCH(E87,D84:D100,))</f>
        <v>7</v>
      </c>
      <c r="I87">
        <v>4</v>
      </c>
      <c r="J87" s="2">
        <f>'Obliczenia nośności W'!$G$13</f>
        <v>5.8333333333333339</v>
      </c>
      <c r="K87" s="2">
        <f>IF($J$87&lt;$O$9,0,'Obliczenia nośności W'!$G$29)</f>
        <v>1.0791666666666668</v>
      </c>
      <c r="L87" s="2">
        <f>SMALL(K84:K100,4)</f>
        <v>0.92500000000000004</v>
      </c>
      <c r="M87">
        <f>INDEX(I84:I100,MATCH(L87,K84:K100,))</f>
        <v>3</v>
      </c>
      <c r="N87" s="18">
        <f>INDEX(J84:J100,MATCH(L87,K84:K100,))</f>
        <v>5</v>
      </c>
      <c r="P87">
        <v>4</v>
      </c>
      <c r="Q87" s="2">
        <f>'Obliczenia nośności H'!$G$27</f>
        <v>7.291666666666667</v>
      </c>
      <c r="R87" s="2">
        <f>IF($Q$87&lt;$O$9,0,'Obliczenia nośności H'!$G$43)</f>
        <v>2.078125</v>
      </c>
      <c r="S87" s="2">
        <f>SMALL(R84:R103,4)</f>
        <v>1.7812499999999998</v>
      </c>
      <c r="T87">
        <f>INDEX(P84:P103,MATCH(S87,R84:R103,))</f>
        <v>14</v>
      </c>
      <c r="U87" s="18">
        <f>INDEX(Q84:Q103,MATCH(S87,R84:R103,))</f>
        <v>6.25</v>
      </c>
    </row>
    <row r="88" spans="2:21" x14ac:dyDescent="0.25">
      <c r="B88">
        <v>5</v>
      </c>
      <c r="C88" s="2">
        <f>'Obliczenia nośności T'!$H$13</f>
        <v>8</v>
      </c>
      <c r="D88" s="2">
        <f>IF($C$88&lt;$O$9,0,'Obliczenia nośności T'!$H$29)</f>
        <v>2.3200000000000003</v>
      </c>
      <c r="E88" s="2">
        <f>SMALL(D84:D100,5)</f>
        <v>2.3200000000000003</v>
      </c>
      <c r="F88">
        <f>INDEX(B84:B100,MATCH(E88,D84:D100,))</f>
        <v>5</v>
      </c>
      <c r="G88" s="18">
        <f>INDEX(C84:C100,MATCH(E88,D84:D100,))</f>
        <v>8</v>
      </c>
      <c r="I88">
        <v>5</v>
      </c>
      <c r="J88" s="2">
        <f>'Obliczenia nośności W'!$H$13</f>
        <v>6.666666666666667</v>
      </c>
      <c r="K88" s="2">
        <f>IF($J$88&lt;$O$9,0,'Obliczenia nośności W'!$H$29)</f>
        <v>1.2333333333333334</v>
      </c>
      <c r="L88" s="2">
        <f>SMALL(K84:K100,5)</f>
        <v>1.0791666666666668</v>
      </c>
      <c r="M88">
        <f>INDEX(I84:I100,MATCH(L88,K84:K100,))</f>
        <v>4</v>
      </c>
      <c r="N88" s="18">
        <f>INDEX(J84:J100,MATCH(L88,K84:K100,))</f>
        <v>5.8333333333333339</v>
      </c>
      <c r="P88">
        <v>5</v>
      </c>
      <c r="Q88" s="2">
        <f>'Obliczenia nośności H'!$H$27</f>
        <v>8.3333333333333339</v>
      </c>
      <c r="R88" s="2">
        <f>IF($Q$88&lt;$O$9,0,'Obliczenia nośności H'!$H$43)</f>
        <v>2.375</v>
      </c>
      <c r="S88" s="2">
        <f>SMALL(R84:R103,5)</f>
        <v>1.78125</v>
      </c>
      <c r="T88">
        <f>INDEX(P84:P103,MATCH(S88,R84:R103,))</f>
        <v>3</v>
      </c>
      <c r="U88" s="18">
        <f>INDEX(Q84:Q103,MATCH(S88,R84:R103,))</f>
        <v>6.25</v>
      </c>
    </row>
    <row r="89" spans="2:21" x14ac:dyDescent="0.25">
      <c r="B89">
        <v>6</v>
      </c>
      <c r="C89" s="2">
        <f>'Obliczenia nośności T'!$I$13</f>
        <v>9</v>
      </c>
      <c r="D89" s="2">
        <f>IF($C$89&lt;$O$9,0,'Obliczenia nośności T'!$I$29)</f>
        <v>2.64</v>
      </c>
      <c r="E89" s="2">
        <f>SMALL(D84:D100,6)</f>
        <v>2.64</v>
      </c>
      <c r="F89">
        <f>INDEX(B84:B100,MATCH(E89,D84:D100,))</f>
        <v>6</v>
      </c>
      <c r="G89" s="18">
        <f>INDEX(C84:C100,MATCH(E89,D84:D100,))</f>
        <v>9</v>
      </c>
      <c r="I89">
        <v>6</v>
      </c>
      <c r="J89" s="2">
        <f>'Obliczenia nośności W'!$I$13</f>
        <v>7.5</v>
      </c>
      <c r="K89" s="2">
        <f>IF($J$89&lt;$O$9,0,'Obliczenia nośności W'!$I$29)</f>
        <v>1.3875</v>
      </c>
      <c r="L89" s="2">
        <f>SMALL(K84:K100,6)</f>
        <v>1.2333333333333334</v>
      </c>
      <c r="M89">
        <f>INDEX(I84:I100,MATCH(L89,K84:K100,))</f>
        <v>5</v>
      </c>
      <c r="N89" s="18">
        <f>INDEX(J84:J100,MATCH(L89,K84:K100,))</f>
        <v>6.666666666666667</v>
      </c>
      <c r="P89">
        <v>6</v>
      </c>
      <c r="Q89" s="2">
        <f>'Obliczenia nośności H'!$I$27</f>
        <v>9.375</v>
      </c>
      <c r="R89" s="2">
        <f>IF($Q$89&lt;$O$9,0,'Obliczenia nośności H'!$I$43)</f>
        <v>2.671875</v>
      </c>
      <c r="S89" s="2">
        <f>SMALL(R84:R103,6)</f>
        <v>2.078125</v>
      </c>
      <c r="T89">
        <f>INDEX(P84:P103,MATCH(S89,R84:R103,))</f>
        <v>4</v>
      </c>
      <c r="U89" s="18">
        <f>INDEX(Q84:Q103,MATCH(S89,R84:R103,))</f>
        <v>7.291666666666667</v>
      </c>
    </row>
    <row r="90" spans="2:21" x14ac:dyDescent="0.25">
      <c r="B90">
        <v>7</v>
      </c>
      <c r="C90" s="2">
        <f>'Obliczenia nośności T'!$J$13</f>
        <v>10</v>
      </c>
      <c r="D90" s="2">
        <f>IF($C$90&lt;$O$9,0,'Obliczenia nośności T'!$J$29)</f>
        <v>2.96</v>
      </c>
      <c r="E90" s="2">
        <f>SMALL(D84:D100,7)</f>
        <v>2.84</v>
      </c>
      <c r="F90">
        <f>INDEX(B84:B100,MATCH(E90,D84:D100,))</f>
        <v>17</v>
      </c>
      <c r="G90" s="18">
        <f>INDEX(C84:C100,MATCH(E90,D84:D100,))</f>
        <v>10</v>
      </c>
      <c r="I90">
        <v>7</v>
      </c>
      <c r="J90" s="2">
        <f>'Obliczenia nośności W'!$J$13</f>
        <v>8.3333333333333339</v>
      </c>
      <c r="K90" s="2">
        <f>IF($J$90&lt;$O$9,0,'Obliczenia nośności W'!$J$29)</f>
        <v>1.5416666666666667</v>
      </c>
      <c r="L90" s="2">
        <f>SMALL(K84:K100,7)</f>
        <v>1.3875</v>
      </c>
      <c r="M90">
        <f>INDEX(I84:I100,MATCH(L90,K84:K100,))</f>
        <v>6</v>
      </c>
      <c r="N90" s="18">
        <f>INDEX(J84:J100,MATCH(L90,K84:K100,))</f>
        <v>7.5</v>
      </c>
      <c r="P90">
        <v>7</v>
      </c>
      <c r="Q90" s="2">
        <f>'Obliczenia nośności H'!$J$27</f>
        <v>10.416666666666668</v>
      </c>
      <c r="R90" s="2">
        <f>IF($Q$90&lt;$O$9,0,'Obliczenia nośności H'!$J$43)</f>
        <v>2.96875</v>
      </c>
      <c r="S90" s="2">
        <f>SMALL(R84:R103,7)</f>
        <v>2.375</v>
      </c>
      <c r="T90">
        <f>INDEX(P84:P103,MATCH(S90,R84:R103,))</f>
        <v>5</v>
      </c>
      <c r="U90" s="18">
        <f>INDEX(Q84:Q103,MATCH(S90,R84:R103,))</f>
        <v>8.3333333333333339</v>
      </c>
    </row>
    <row r="91" spans="2:21" x14ac:dyDescent="0.25">
      <c r="B91">
        <v>8</v>
      </c>
      <c r="C91" s="2">
        <f>'Obliczenia nośności T'!$K$13</f>
        <v>11</v>
      </c>
      <c r="D91" s="2">
        <f>IF($C$91&lt;$O$9,0,'Obliczenia nośności T'!$K$29)</f>
        <v>3.2800000000000002</v>
      </c>
      <c r="E91" s="2">
        <f>SMALL(D84:D100,8)</f>
        <v>2.96</v>
      </c>
      <c r="F91">
        <f>INDEX(B84:B100,MATCH(E91,D84:D100,))</f>
        <v>7</v>
      </c>
      <c r="G91" s="18">
        <f>INDEX(C84:C100,MATCH(E91,D84:D100,))</f>
        <v>10</v>
      </c>
      <c r="I91">
        <v>8</v>
      </c>
      <c r="J91" s="2">
        <f>'Obliczenia nośności W'!$K$13</f>
        <v>9.1666666666666679</v>
      </c>
      <c r="K91" s="2">
        <f>IF($J$91&lt;$O$9,0,'Obliczenia nośności W'!$K$29)</f>
        <v>1.6958333333333335</v>
      </c>
      <c r="L91" s="2">
        <f>SMALL(K84:K100,8)</f>
        <v>1.5416666666666667</v>
      </c>
      <c r="M91">
        <f>INDEX(I84:I100,MATCH(L91,K84:K100,))</f>
        <v>7</v>
      </c>
      <c r="N91" s="18">
        <f>INDEX(J84:J100,MATCH(L91,K84:K100,))</f>
        <v>8.3333333333333339</v>
      </c>
      <c r="P91">
        <v>8</v>
      </c>
      <c r="Q91" s="2">
        <f>'Obliczenia nośności H'!$K$27</f>
        <v>11.458333333333334</v>
      </c>
      <c r="R91" s="2">
        <f>IF($Q$91&lt;$O$9,0,'Obliczenia nośności H'!$K$43)</f>
        <v>3.265625</v>
      </c>
      <c r="S91" s="2">
        <f>SMALL(R84:R103,8)</f>
        <v>2.375</v>
      </c>
      <c r="T91">
        <f>INDEX(P84:P103,MATCH(S91,R84:R103,))</f>
        <v>5</v>
      </c>
      <c r="U91" s="18">
        <f>INDEX(Q84:Q103,MATCH(S91,R84:R103,))</f>
        <v>8.3333333333333339</v>
      </c>
    </row>
    <row r="92" spans="2:21" x14ac:dyDescent="0.25">
      <c r="B92">
        <v>9</v>
      </c>
      <c r="C92" s="2">
        <f>'Obliczenia nośności T'!$L$13</f>
        <v>12</v>
      </c>
      <c r="D92" s="2">
        <f>IF($C$92&lt;$O$9,0,'Obliczenia nośności T'!$L$29)</f>
        <v>3.6</v>
      </c>
      <c r="E92" s="2">
        <f>SMALL(D84:D100,9)</f>
        <v>3.2800000000000002</v>
      </c>
      <c r="F92">
        <f>INDEX(B84:B100,MATCH(E92,D84:D100,))</f>
        <v>8</v>
      </c>
      <c r="G92" s="18">
        <f>INDEX(C84:C100,MATCH(E92,D84:D100,))</f>
        <v>11</v>
      </c>
      <c r="I92">
        <v>9</v>
      </c>
      <c r="J92" s="2">
        <f>'Obliczenia nośności W'!$L$13</f>
        <v>10</v>
      </c>
      <c r="K92" s="2">
        <f>IF($J$92&lt;$O$9,0,'Obliczenia nośności W'!$L$29)</f>
        <v>1.85</v>
      </c>
      <c r="L92" s="2">
        <f>SMALL(K84:K100,9)</f>
        <v>1.6958333333333335</v>
      </c>
      <c r="M92">
        <f>INDEX(I84:I100,MATCH(L92,K84:K100,))</f>
        <v>8</v>
      </c>
      <c r="N92" s="18">
        <f>INDEX(J84:J100,MATCH(L92,K84:K100,))</f>
        <v>9.1666666666666679</v>
      </c>
      <c r="P92">
        <v>9</v>
      </c>
      <c r="Q92" s="2">
        <f>'Obliczenia nośności H'!$L$27</f>
        <v>12.5</v>
      </c>
      <c r="R92" s="2">
        <f>IF($Q$92&lt;$O$9,0,'Obliczenia nośności H'!$L$43)</f>
        <v>3.5625</v>
      </c>
      <c r="S92" s="2">
        <f>SMALL(R84:R103,9)</f>
        <v>2.671875</v>
      </c>
      <c r="T92">
        <f>INDEX(P84:P103,MATCH(S92,R84:R103,))</f>
        <v>6</v>
      </c>
      <c r="U92" s="18">
        <f>INDEX(Q84:Q103,MATCH(S92,R84:R103,))</f>
        <v>9.375</v>
      </c>
    </row>
    <row r="93" spans="2:21" x14ac:dyDescent="0.25">
      <c r="B93">
        <v>10</v>
      </c>
      <c r="C93" s="2">
        <f>'Obliczenia nośności T'!$M$13</f>
        <v>12</v>
      </c>
      <c r="D93" s="2">
        <f>IF($C$93&lt;$O$9,0,'Obliczenia nośności T'!$M$29)</f>
        <v>3.48</v>
      </c>
      <c r="E93" s="2">
        <f>SMALL(D84:D100,10)</f>
        <v>3.48</v>
      </c>
      <c r="F93">
        <f>INDEX(B84:B100,MATCH(E93,D84:D100,))</f>
        <v>10</v>
      </c>
      <c r="G93" s="18">
        <f>INDEX(C84:C100,MATCH(E93,D84:D100,))</f>
        <v>12</v>
      </c>
      <c r="I93">
        <v>10</v>
      </c>
      <c r="J93" s="2">
        <f>'Obliczenia nośności W'!$M$13</f>
        <v>10.833333333333334</v>
      </c>
      <c r="K93" s="2">
        <f>IF($J$93&lt;$O$9,0,'Obliczenia nośności W'!$M$29)</f>
        <v>2.0208333333333335</v>
      </c>
      <c r="L93" s="2">
        <f>SMALL(K84:K100,10)</f>
        <v>1.85</v>
      </c>
      <c r="M93">
        <f>INDEX(I84:I100,MATCH(L93,K84:K100,))</f>
        <v>9</v>
      </c>
      <c r="N93" s="18">
        <f>INDEX(J84:J100,MATCH(L93,K84:K100,))</f>
        <v>10</v>
      </c>
      <c r="P93">
        <v>10</v>
      </c>
      <c r="Q93" s="2">
        <f>'Obliczenia nośności H'!$M$27</f>
        <v>13.541666666666668</v>
      </c>
      <c r="R93" s="2">
        <f>IF($Q$93&lt;$O$9,0,'Obliczenia nośności H'!$M$43)</f>
        <v>3.8593749999999996</v>
      </c>
      <c r="S93" s="2">
        <f>SMALL(R84:R103,10)</f>
        <v>2.96875</v>
      </c>
      <c r="T93">
        <f>INDEX(P84:P103,MATCH(S93,R84:R103,))</f>
        <v>7</v>
      </c>
      <c r="U93" s="18">
        <f>INDEX(Q84:Q103,MATCH(S93,R84:R103,))</f>
        <v>10.416666666666668</v>
      </c>
    </row>
    <row r="94" spans="2:21" x14ac:dyDescent="0.25">
      <c r="B94">
        <v>11</v>
      </c>
      <c r="C94" s="2">
        <f>'Obliczenia nośności T'!$N$13</f>
        <v>13</v>
      </c>
      <c r="D94" s="2">
        <f>IF($C$94&lt;$O$9,0,'Obliczenia nośności T'!$N$29)</f>
        <v>3.92</v>
      </c>
      <c r="E94" s="2">
        <f>SMALL(D84:D100,11)</f>
        <v>3.6</v>
      </c>
      <c r="F94">
        <f>INDEX(B84:B100,MATCH(E94,D84:D100,))</f>
        <v>9</v>
      </c>
      <c r="G94" s="18">
        <f>INDEX(C84:C100,MATCH(E94,D84:D100,))</f>
        <v>12</v>
      </c>
      <c r="I94">
        <v>11</v>
      </c>
      <c r="J94" s="2">
        <f>'Obliczenia nośności W'!$N$13</f>
        <v>11.666666666666668</v>
      </c>
      <c r="K94" s="2">
        <f>IF($J$94&lt;$O$9,0,'Obliczenia nośności W'!$N$29)</f>
        <v>2.1916666666666669</v>
      </c>
      <c r="L94" s="2">
        <f>SMALL(K84:K100,11)</f>
        <v>2.0208333333333335</v>
      </c>
      <c r="M94">
        <f>INDEX(I84:I100,MATCH(L94,K84:K100,))</f>
        <v>10</v>
      </c>
      <c r="N94" s="18">
        <f>INDEX(J84:J100,MATCH(L94,K84:K100,))</f>
        <v>10.833333333333334</v>
      </c>
      <c r="P94">
        <v>11</v>
      </c>
      <c r="Q94" s="2">
        <f>'Obliczenia nośności H'!$N$27</f>
        <v>14.583333333333334</v>
      </c>
      <c r="R94" s="2">
        <f>IF($Q$94&lt;$O$9,0,'Obliczenia nośności H'!$N$43)</f>
        <v>4.15625</v>
      </c>
      <c r="S94" s="2">
        <f>SMALL(R84:R103,11)</f>
        <v>2.96875</v>
      </c>
      <c r="T94">
        <f>INDEX(P84:P103,MATCH(S94,R84:R103,))</f>
        <v>7</v>
      </c>
      <c r="U94" s="18">
        <f>INDEX(Q84:Q103,MATCH(S94,R84:R103,))</f>
        <v>10.416666666666668</v>
      </c>
    </row>
    <row r="95" spans="2:21" x14ac:dyDescent="0.25">
      <c r="B95">
        <v>12</v>
      </c>
      <c r="C95" s="2">
        <f>'Obliczenia nośności T'!$O$13</f>
        <v>13</v>
      </c>
      <c r="D95" s="2">
        <f>IF($C$95&lt;$O$9,0,'Obliczenia nośności T'!$O$29)</f>
        <v>3.8000000000000003</v>
      </c>
      <c r="E95" s="2">
        <f>SMALL(D84:D100,12)</f>
        <v>3.8000000000000003</v>
      </c>
      <c r="F95">
        <f>INDEX(B84:B100,MATCH(E95,D84:D100,))</f>
        <v>12</v>
      </c>
      <c r="G95" s="18">
        <f>INDEX(C84:C100,MATCH(E95,D84:D100,))</f>
        <v>13</v>
      </c>
      <c r="I95">
        <v>12</v>
      </c>
      <c r="J95" s="2">
        <f>'Obliczenia nośności W'!$O$13</f>
        <v>12.5</v>
      </c>
      <c r="K95" s="2">
        <f>IF($J$95&lt;$O$9,0,'Obliczenia nośności W'!$O$29)</f>
        <v>2.3624999999999998</v>
      </c>
      <c r="L95" s="2">
        <f>SMALL(K84:K100,12)</f>
        <v>2.1916666666666669</v>
      </c>
      <c r="M95">
        <f>INDEX(I84:I100,MATCH(L95,K84:K100,))</f>
        <v>11</v>
      </c>
      <c r="N95" s="18">
        <f>INDEX(J84:J100,MATCH(L95,K84:K100,))</f>
        <v>11.666666666666668</v>
      </c>
      <c r="P95">
        <v>12</v>
      </c>
      <c r="Q95" s="2">
        <f>'Obliczenia nośności H'!$O$27</f>
        <v>15.625</v>
      </c>
      <c r="R95" s="2">
        <f>IF($Q$95&lt;$O$9,0,'Obliczenia nośności H'!$O$43)</f>
        <v>4.453125</v>
      </c>
      <c r="S95" s="2">
        <f>SMALL(R84:R103,12)</f>
        <v>3.265625</v>
      </c>
      <c r="T95">
        <f>INDEX(P84:P103,MATCH(S95,R84:R103,))</f>
        <v>8</v>
      </c>
      <c r="U95" s="18">
        <f>INDEX(Q84:Q103,MATCH(S95,R84:R103,))</f>
        <v>11.458333333333334</v>
      </c>
    </row>
    <row r="96" spans="2:21" x14ac:dyDescent="0.25">
      <c r="B96">
        <v>13</v>
      </c>
      <c r="C96" s="2">
        <f>'Obliczenia nośności T'!$P$13</f>
        <v>14</v>
      </c>
      <c r="D96" s="2">
        <f>IF($C$96&lt;$O$9,0,'Obliczenia nośności T'!$P$29)</f>
        <v>4.24</v>
      </c>
      <c r="E96" s="2">
        <f>SMALL(D84:D100,13)</f>
        <v>3.92</v>
      </c>
      <c r="F96">
        <f>INDEX(B84:B100,MATCH(E96,D84:D100,))</f>
        <v>11</v>
      </c>
      <c r="G96" s="18">
        <f>INDEX(C84:C100,MATCH(E96,D84:D100,))</f>
        <v>13</v>
      </c>
      <c r="I96">
        <v>13</v>
      </c>
      <c r="J96" s="2">
        <f>'Obliczenia nośności W'!$P$13</f>
        <v>13.333333333333334</v>
      </c>
      <c r="K96" s="2">
        <f>IF($J$96&lt;$O$9,0,'Obliczenia nośności W'!$P$29)</f>
        <v>2.5333333333333332</v>
      </c>
      <c r="L96" s="2">
        <f>SMALL(K84:K100,13)</f>
        <v>2.3624999999999998</v>
      </c>
      <c r="M96">
        <f>INDEX(I84:I100,MATCH(L96,K84:K100,))</f>
        <v>12</v>
      </c>
      <c r="N96" s="18">
        <f>INDEX(J84:J100,MATCH(L96,K84:K100,))</f>
        <v>12.5</v>
      </c>
      <c r="P96">
        <v>13</v>
      </c>
      <c r="Q96" s="2">
        <f>'Obliczenia nośności H'!$P$27</f>
        <v>4.166666666666667</v>
      </c>
      <c r="R96" s="2">
        <f>IF($Q$96&lt;$O$9,0,'Obliczenia nośności H'!$P$43)</f>
        <v>0</v>
      </c>
      <c r="S96" s="2">
        <f>SMALL(R84:R103,13)</f>
        <v>3.5624999999999996</v>
      </c>
      <c r="T96">
        <f>INDEX(P84:P103,MATCH(S96,R84:R103,))</f>
        <v>17</v>
      </c>
      <c r="U96" s="18">
        <f>INDEX(Q84:Q103,MATCH(S96,R84:R103,))</f>
        <v>12.5</v>
      </c>
    </row>
    <row r="97" spans="2:21" x14ac:dyDescent="0.25">
      <c r="B97">
        <v>14</v>
      </c>
      <c r="C97" s="2">
        <f>'Obliczenia nośności T'!$Q$13</f>
        <v>14</v>
      </c>
      <c r="D97" s="2">
        <f>IF($C$97&lt;$O$9,0,'Obliczenia nośności T'!$Q$29)</f>
        <v>4.12</v>
      </c>
      <c r="E97" s="2">
        <f>SMALL(D84:D100,14)</f>
        <v>4.12</v>
      </c>
      <c r="F97">
        <f>INDEX(B84:B100,MATCH(E97,D84:D100,))</f>
        <v>14</v>
      </c>
      <c r="G97" s="18">
        <f>INDEX(C84:C100,MATCH(E97,D84:D100,))</f>
        <v>14</v>
      </c>
      <c r="I97">
        <v>14</v>
      </c>
      <c r="J97" s="2">
        <f>'Obliczenia nośności W'!$Q$13</f>
        <v>3.3333333333333335</v>
      </c>
      <c r="K97" s="2">
        <f>IF($J$97&lt;$O$9,0,'Obliczenia nośności W'!$Q$29)</f>
        <v>0</v>
      </c>
      <c r="L97" s="2">
        <f>SMALL(K84:K100,14)</f>
        <v>2.5333333333333332</v>
      </c>
      <c r="M97">
        <f>INDEX(I84:I100,MATCH(L97,K84:K100,))</f>
        <v>13</v>
      </c>
      <c r="N97" s="18">
        <f>INDEX(J84:J100,MATCH(L97,K84:K100,))</f>
        <v>13.333333333333334</v>
      </c>
      <c r="P97">
        <v>14</v>
      </c>
      <c r="Q97" s="2">
        <f>'Obliczenia nośności H'!$Q$27</f>
        <v>6.25</v>
      </c>
      <c r="R97" s="2">
        <f>IF($Q$97&lt;$O$9,0,'Obliczenia nośności H'!$Q$43)</f>
        <v>1.7812499999999998</v>
      </c>
      <c r="S97" s="2">
        <f>SMALL(R84:R103,14)</f>
        <v>3.5625</v>
      </c>
      <c r="T97">
        <f>INDEX(P84:P103,MATCH(S97,R84:R103,))</f>
        <v>9</v>
      </c>
      <c r="U97" s="18">
        <f>INDEX(Q84:Q103,MATCH(S97,R84:R103,))</f>
        <v>12.5</v>
      </c>
    </row>
    <row r="98" spans="2:21" x14ac:dyDescent="0.25">
      <c r="B98">
        <v>15</v>
      </c>
      <c r="C98" s="2">
        <f>'Obliczenia nośności T'!$R$13</f>
        <v>15</v>
      </c>
      <c r="D98" s="2">
        <f>IF($C$98&lt;$O$9,0,'Obliczenia nośności T'!$R$29)</f>
        <v>4.4399999999999995</v>
      </c>
      <c r="E98" s="2">
        <f>SMALL(D84:D100,15)</f>
        <v>4.24</v>
      </c>
      <c r="F98">
        <f>INDEX(B84:B100,MATCH(E98,D84:D100,))</f>
        <v>13</v>
      </c>
      <c r="G98" s="18">
        <f>INDEX(C84:C100,MATCH(E98,D84:D100,))</f>
        <v>14</v>
      </c>
      <c r="J98" s="2"/>
      <c r="K98" s="2"/>
      <c r="L98" s="2"/>
      <c r="N98" s="18"/>
      <c r="P98">
        <v>15</v>
      </c>
      <c r="Q98" s="2">
        <f>'Obliczenia nośności H'!$R$27</f>
        <v>8.3333333333333339</v>
      </c>
      <c r="R98" s="2">
        <f>IF($Q$98&lt;$O$9,0,'Obliczenia nośności H'!$R$43)</f>
        <v>2.375</v>
      </c>
      <c r="S98" s="2">
        <f>SMALL(R84:R103,15)</f>
        <v>3.8593749999999996</v>
      </c>
      <c r="T98">
        <f>INDEX(P84:P103,MATCH(S98,R84:R103,))</f>
        <v>10</v>
      </c>
      <c r="U98" s="18">
        <f>INDEX(Q84:Q103,MATCH(S98,R84:R103,))</f>
        <v>13.541666666666668</v>
      </c>
    </row>
    <row r="99" spans="2:21" x14ac:dyDescent="0.25">
      <c r="B99">
        <v>16</v>
      </c>
      <c r="C99" s="2">
        <f>'Obliczenia nośności T'!$S$13</f>
        <v>16</v>
      </c>
      <c r="D99" s="2">
        <f>IF($C$99&lt;$O$9,0,'Obliczenia nośności T'!$S$29)</f>
        <v>4.76</v>
      </c>
      <c r="E99" s="2">
        <f>SMALL(D84:D100,16)</f>
        <v>4.4399999999999995</v>
      </c>
      <c r="F99">
        <f>INDEX(B84:B100,MATCH(E99,D84:D100,))</f>
        <v>15</v>
      </c>
      <c r="G99" s="18">
        <f>INDEX(C84:C100,MATCH(E99,D84:D100,))</f>
        <v>15</v>
      </c>
      <c r="J99" s="2"/>
      <c r="K99" s="2"/>
      <c r="L99" s="2"/>
      <c r="N99" s="18"/>
      <c r="P99">
        <v>16</v>
      </c>
      <c r="Q99" s="2">
        <f>'Obliczenia nośności H'!$S$27</f>
        <v>10.416666666666668</v>
      </c>
      <c r="R99" s="2">
        <f>IF($Q$99&lt;$O$9,0,'Obliczenia nośności H'!$S$43)</f>
        <v>2.96875</v>
      </c>
      <c r="S99" s="2">
        <f>SMALL(R84:R103,16)</f>
        <v>4.15625</v>
      </c>
      <c r="T99">
        <f>INDEX(P84:P103,MATCH(S99,R84:R103,))</f>
        <v>11</v>
      </c>
      <c r="U99" s="18">
        <f>INDEX(Q84:Q103,MATCH(S99,R84:R103,))</f>
        <v>14.583333333333334</v>
      </c>
    </row>
    <row r="100" spans="2:21" x14ac:dyDescent="0.25">
      <c r="B100">
        <v>17</v>
      </c>
      <c r="C100" s="2">
        <f>'Obliczenia nośności T'!$T$13</f>
        <v>10</v>
      </c>
      <c r="D100" s="2">
        <f>IF($C$100&lt;$O$9,0,'Obliczenia nośności T'!$T$29)</f>
        <v>2.84</v>
      </c>
      <c r="E100" s="2">
        <f>SMALL(D84:D100,17)</f>
        <v>4.76</v>
      </c>
      <c r="F100">
        <f>INDEX(B84:B100,MATCH(E100,D84:D100,))</f>
        <v>16</v>
      </c>
      <c r="G100" s="18">
        <f>INDEX(C84:C100,MATCH(E100,D84:D100,))</f>
        <v>16</v>
      </c>
      <c r="J100" s="2"/>
      <c r="K100" s="2"/>
      <c r="L100" s="2"/>
      <c r="N100" s="18"/>
      <c r="P100">
        <v>17</v>
      </c>
      <c r="Q100" s="2">
        <f>'Obliczenia nośności H'!$T$27</f>
        <v>12.5</v>
      </c>
      <c r="R100" s="2">
        <f>IF($Q$100&lt;$O$9,0,'Obliczenia nośności H'!$T$43)</f>
        <v>3.5624999999999996</v>
      </c>
      <c r="S100" s="2">
        <f>SMALL(R84:R103,17)</f>
        <v>4.15625</v>
      </c>
      <c r="T100">
        <f>INDEX(P84:P103,MATCH(S100,R84:R103,))</f>
        <v>11</v>
      </c>
      <c r="U100" s="18">
        <f>INDEX(Q84:Q103,MATCH(S100,R84:R103,))</f>
        <v>14.583333333333334</v>
      </c>
    </row>
    <row r="101" spans="2:21" x14ac:dyDescent="0.25">
      <c r="P101">
        <v>18</v>
      </c>
      <c r="Q101" s="2">
        <f>'Obliczenia nośności H'!$U$27</f>
        <v>14.583333333333334</v>
      </c>
      <c r="R101" s="2">
        <f>IF($Q$101&lt;$O$9,0,'Obliczenia nośności H'!$U$43)</f>
        <v>4.15625</v>
      </c>
      <c r="S101" s="2">
        <f>SMALL(R84:R103,18)</f>
        <v>4.453125</v>
      </c>
      <c r="T101">
        <f>INDEX(P84:P103,MATCH(S101,R84:R103,))</f>
        <v>12</v>
      </c>
      <c r="U101" s="18">
        <f>INDEX(Q84:Q103,MATCH(S101,R84:R103,))</f>
        <v>15.625</v>
      </c>
    </row>
    <row r="102" spans="2:21" x14ac:dyDescent="0.25">
      <c r="P102">
        <v>19</v>
      </c>
      <c r="Q102" s="2">
        <f>'Obliczenia nośności H'!$V$27</f>
        <v>16.666666666666668</v>
      </c>
      <c r="R102" s="2">
        <f>IF($Q$102&lt;$O$9,0,'Obliczenia nośności H'!$V$43)</f>
        <v>4.75</v>
      </c>
      <c r="S102" s="2">
        <f>SMALL(R84:R103,19)</f>
        <v>4.75</v>
      </c>
      <c r="T102">
        <f>INDEX(P84:P103,MATCH(S102,R84:R103,))</f>
        <v>19</v>
      </c>
      <c r="U102" s="18">
        <f>INDEX(Q84:Q103,MATCH(S102,R84:R103,))</f>
        <v>16.666666666666668</v>
      </c>
    </row>
    <row r="103" spans="2:21" x14ac:dyDescent="0.25">
      <c r="P103">
        <v>20</v>
      </c>
      <c r="Q103" s="2">
        <f>'Obliczenia nośności H'!$W$27</f>
        <v>20.833333333333336</v>
      </c>
      <c r="R103" s="2">
        <f>IF($Q$103&lt;$O$9,0,'Obliczenia nośności H'!$W$43)</f>
        <v>5.9375</v>
      </c>
      <c r="S103" s="2">
        <f>SMALL(R84:R103,20)</f>
        <v>5.9375</v>
      </c>
      <c r="T103">
        <f>INDEX(P84:P103,MATCH(S103,R84:R103,))</f>
        <v>20</v>
      </c>
      <c r="U103" s="18">
        <f>INDEX(Q84:Q103,MATCH(S103,R84:R103,))</f>
        <v>20.833333333333336</v>
      </c>
    </row>
    <row r="104" spans="2:21" hidden="1" x14ac:dyDescent="0.25">
      <c r="L104" s="148" t="s">
        <v>272</v>
      </c>
    </row>
    <row r="105" spans="2:21" hidden="1" x14ac:dyDescent="0.25">
      <c r="L105" t="s">
        <v>268</v>
      </c>
    </row>
    <row r="106" spans="2:21" hidden="1" x14ac:dyDescent="0.25">
      <c r="L106" t="s">
        <v>270</v>
      </c>
    </row>
    <row r="107" spans="2:21" hidden="1" x14ac:dyDescent="0.25">
      <c r="L107" t="s">
        <v>271</v>
      </c>
    </row>
  </sheetData>
  <sheetProtection algorithmName="SHA-512" hashValue="xUKEVzQ8dZUNZjzltPMcEoniQqQDY2bTHrC8SdfLyjGKrcLi76PSVNNHCK0zUyIxvWJgZVxxoAHFL7ZCJ5hAhA==" saltValue="fgH0/kpYOJ53o7ScaWQrGQ==" spinCount="100000" sheet="1" objects="1" scenarios="1"/>
  <mergeCells count="93">
    <mergeCell ref="I47:I48"/>
    <mergeCell ref="I44:I46"/>
    <mergeCell ref="J47:J48"/>
    <mergeCell ref="P81:U81"/>
    <mergeCell ref="O19:O20"/>
    <mergeCell ref="O21:O23"/>
    <mergeCell ref="I24:I27"/>
    <mergeCell ref="I28:I31"/>
    <mergeCell ref="I19:I20"/>
    <mergeCell ref="O36:O39"/>
    <mergeCell ref="P36:P39"/>
    <mergeCell ref="O40:O43"/>
    <mergeCell ref="J56:N58"/>
    <mergeCell ref="J72:N72"/>
    <mergeCell ref="J61:N61"/>
    <mergeCell ref="J37:J38"/>
    <mergeCell ref="N44:N46"/>
    <mergeCell ref="K47:K48"/>
    <mergeCell ref="L47:L48"/>
    <mergeCell ref="M47:M48"/>
    <mergeCell ref="N47:N48"/>
    <mergeCell ref="M44:M46"/>
    <mergeCell ref="J44:J46"/>
    <mergeCell ref="B81:G81"/>
    <mergeCell ref="H32:H35"/>
    <mergeCell ref="I32:I35"/>
    <mergeCell ref="H36:H39"/>
    <mergeCell ref="I36:I39"/>
    <mergeCell ref="I81:N81"/>
    <mergeCell ref="J49:J52"/>
    <mergeCell ref="K49:K52"/>
    <mergeCell ref="L49:L52"/>
    <mergeCell ref="M49:M52"/>
    <mergeCell ref="J53:N55"/>
    <mergeCell ref="N49:N52"/>
    <mergeCell ref="I49:I52"/>
    <mergeCell ref="K44:K46"/>
    <mergeCell ref="L44:L46"/>
    <mergeCell ref="R24:R43"/>
    <mergeCell ref="J25:J26"/>
    <mergeCell ref="Q36:Q39"/>
    <mergeCell ref="Q40:Q43"/>
    <mergeCell ref="J41:J42"/>
    <mergeCell ref="P40:P43"/>
    <mergeCell ref="O24:O27"/>
    <mergeCell ref="P24:P27"/>
    <mergeCell ref="O28:O31"/>
    <mergeCell ref="P28:P31"/>
    <mergeCell ref="O32:O35"/>
    <mergeCell ref="P32:P35"/>
    <mergeCell ref="G28:G31"/>
    <mergeCell ref="Q28:Q31"/>
    <mergeCell ref="J29:J30"/>
    <mergeCell ref="G32:G35"/>
    <mergeCell ref="Q32:Q35"/>
    <mergeCell ref="J33:J34"/>
    <mergeCell ref="L33:L34"/>
    <mergeCell ref="N33:N34"/>
    <mergeCell ref="K24:K43"/>
    <mergeCell ref="I40:I43"/>
    <mergeCell ref="H28:H31"/>
    <mergeCell ref="Q24:Q27"/>
    <mergeCell ref="E24:E43"/>
    <mergeCell ref="F24:F43"/>
    <mergeCell ref="G24:G27"/>
    <mergeCell ref="G40:G43"/>
    <mergeCell ref="J12:N14"/>
    <mergeCell ref="I15:I18"/>
    <mergeCell ref="J15:J18"/>
    <mergeCell ref="K15:K18"/>
    <mergeCell ref="L15:L18"/>
    <mergeCell ref="M15:M18"/>
    <mergeCell ref="N15:N18"/>
    <mergeCell ref="G36:G39"/>
    <mergeCell ref="I21:I23"/>
    <mergeCell ref="H24:H27"/>
    <mergeCell ref="H40:H43"/>
    <mergeCell ref="J19:J20"/>
    <mergeCell ref="I8:N8"/>
    <mergeCell ref="I9:N9"/>
    <mergeCell ref="I10:N10"/>
    <mergeCell ref="B2:V3"/>
    <mergeCell ref="B4:V4"/>
    <mergeCell ref="B6:V6"/>
    <mergeCell ref="K19:K20"/>
    <mergeCell ref="L19:L20"/>
    <mergeCell ref="M19:M20"/>
    <mergeCell ref="N19:N20"/>
    <mergeCell ref="J21:J23"/>
    <mergeCell ref="K21:K23"/>
    <mergeCell ref="L21:L23"/>
    <mergeCell ref="M21:M23"/>
    <mergeCell ref="N21:N23"/>
  </mergeCells>
  <conditionalFormatting sqref="J21:N21 O24 J44:N44 I24 I28 I32 I36 I40 O28 O32 O36 O40">
    <cfRule type="colorScale" priority="2">
      <colorScale>
        <cfvo type="min"/>
        <cfvo type="max"/>
        <color rgb="FFFFFF00"/>
        <color rgb="FFFF0000"/>
      </colorScale>
    </cfRule>
  </conditionalFormatting>
  <conditionalFormatting sqref="J19:N19 P24 J47:N47 H24 H28 H32 H36 H40 P28 P32 P36 P40">
    <cfRule type="colorScale" priority="1">
      <colorScale>
        <cfvo type="min"/>
        <cfvo type="max"/>
        <color rgb="FF29C7FF"/>
        <color rgb="FF00B050"/>
      </colorScale>
    </cfRule>
  </conditionalFormatting>
  <dataValidations count="1">
    <dataValidation type="list" allowBlank="1" showInputMessage="1" showErrorMessage="1" sqref="O8" xr:uid="{00000000-0002-0000-0A00-000000000000}">
      <formula1>$L$105:$L$107</formula1>
    </dataValidation>
  </dataValidations>
  <pageMargins left="0.7" right="0.7" top="0.75" bottom="0.75" header="0.3" footer="0.3"/>
  <pageSetup paperSize="9" orientation="portrait" horizontalDpi="1200" verticalDpi="1200" r:id="rId1"/>
  <ignoredErrors>
    <ignoredError sqref="F24" evalError="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V79"/>
  <sheetViews>
    <sheetView zoomScaleNormal="100" workbookViewId="0">
      <selection activeCell="B2" sqref="B2:V3"/>
    </sheetView>
  </sheetViews>
  <sheetFormatPr defaultRowHeight="15" x14ac:dyDescent="0.25"/>
  <sheetData>
    <row r="2" spans="2:22" x14ac:dyDescent="0.25">
      <c r="B2" s="311" t="s">
        <v>326</v>
      </c>
      <c r="C2" s="311"/>
      <c r="D2" s="311"/>
      <c r="E2" s="311"/>
      <c r="F2" s="311"/>
      <c r="G2" s="311"/>
      <c r="H2" s="311"/>
      <c r="I2" s="311"/>
      <c r="J2" s="311"/>
      <c r="K2" s="311"/>
      <c r="L2" s="311"/>
      <c r="M2" s="311"/>
      <c r="N2" s="311"/>
      <c r="O2" s="311"/>
      <c r="P2" s="311"/>
      <c r="Q2" s="311"/>
      <c r="R2" s="311"/>
      <c r="S2" s="311"/>
      <c r="T2" s="311"/>
      <c r="U2" s="311"/>
      <c r="V2" s="311"/>
    </row>
    <row r="3" spans="2:22" x14ac:dyDescent="0.25">
      <c r="B3" s="311"/>
      <c r="C3" s="311"/>
      <c r="D3" s="311"/>
      <c r="E3" s="311"/>
      <c r="F3" s="311"/>
      <c r="G3" s="311"/>
      <c r="H3" s="311"/>
      <c r="I3" s="311"/>
      <c r="J3" s="311"/>
      <c r="K3" s="311"/>
      <c r="L3" s="311"/>
      <c r="M3" s="311"/>
      <c r="N3" s="311"/>
      <c r="O3" s="311"/>
      <c r="P3" s="311"/>
      <c r="Q3" s="311"/>
      <c r="R3" s="311"/>
      <c r="S3" s="311"/>
      <c r="T3" s="311"/>
      <c r="U3" s="311"/>
      <c r="V3" s="311"/>
    </row>
    <row r="4" spans="2:22" x14ac:dyDescent="0.25">
      <c r="B4" s="312" t="s">
        <v>253</v>
      </c>
      <c r="C4" s="312"/>
      <c r="D4" s="312"/>
      <c r="E4" s="312"/>
      <c r="F4" s="312"/>
      <c r="G4" s="312"/>
      <c r="H4" s="312"/>
      <c r="I4" s="312"/>
      <c r="J4" s="312"/>
      <c r="K4" s="312"/>
      <c r="L4" s="312"/>
      <c r="M4" s="312"/>
      <c r="N4" s="312"/>
      <c r="O4" s="312"/>
      <c r="P4" s="312"/>
      <c r="Q4" s="312"/>
      <c r="R4" s="312"/>
      <c r="S4" s="312"/>
      <c r="T4" s="312"/>
      <c r="U4" s="312"/>
      <c r="V4" s="312"/>
    </row>
    <row r="6" spans="2:22" x14ac:dyDescent="0.25">
      <c r="B6" s="247" t="s">
        <v>95</v>
      </c>
      <c r="C6" s="248"/>
      <c r="D6" s="248"/>
      <c r="E6" s="248"/>
      <c r="F6" s="248"/>
      <c r="G6" s="248"/>
      <c r="H6" s="248"/>
      <c r="I6" s="248"/>
      <c r="J6" s="248"/>
      <c r="K6" s="248"/>
      <c r="L6" s="248"/>
      <c r="M6" s="248"/>
      <c r="N6" s="248"/>
      <c r="O6" s="248"/>
      <c r="P6" s="248"/>
      <c r="Q6" s="248"/>
      <c r="R6" s="248"/>
      <c r="S6" s="248"/>
      <c r="T6" s="248"/>
      <c r="U6" s="248"/>
      <c r="V6" s="248"/>
    </row>
    <row r="7" spans="2:22" x14ac:dyDescent="0.25">
      <c r="B7" s="159"/>
      <c r="C7" s="160"/>
      <c r="D7" s="160"/>
      <c r="E7" s="160"/>
      <c r="F7" s="160"/>
      <c r="G7" s="160"/>
      <c r="H7" s="160"/>
      <c r="I7" s="160"/>
      <c r="J7" s="160"/>
      <c r="K7" s="160"/>
      <c r="L7" s="160"/>
      <c r="M7" s="160"/>
      <c r="N7" s="160"/>
      <c r="O7" s="160"/>
      <c r="P7" s="160"/>
      <c r="Q7" s="160"/>
      <c r="R7" s="160"/>
      <c r="S7" s="160"/>
      <c r="T7" s="160"/>
      <c r="U7" s="160"/>
      <c r="V7" s="160"/>
    </row>
    <row r="8" spans="2:22" x14ac:dyDescent="0.25">
      <c r="H8" s="310" t="s">
        <v>283</v>
      </c>
      <c r="I8" s="310"/>
      <c r="J8" s="310"/>
      <c r="K8" s="310"/>
      <c r="L8" s="310"/>
      <c r="M8" s="310"/>
      <c r="N8" s="310"/>
      <c r="O8" s="310"/>
      <c r="P8" s="196">
        <v>0.8</v>
      </c>
    </row>
    <row r="9" spans="2:22" x14ac:dyDescent="0.25">
      <c r="H9" s="310" t="s">
        <v>256</v>
      </c>
      <c r="I9" s="310"/>
      <c r="J9" s="310"/>
      <c r="K9" s="310"/>
      <c r="L9" s="310"/>
      <c r="M9" s="310"/>
      <c r="N9" s="310"/>
      <c r="O9" s="310"/>
      <c r="P9" s="196">
        <v>0.4</v>
      </c>
    </row>
    <row r="10" spans="2:22" x14ac:dyDescent="0.25">
      <c r="H10" s="310" t="s">
        <v>257</v>
      </c>
      <c r="I10" s="310"/>
      <c r="J10" s="310"/>
      <c r="K10" s="310"/>
      <c r="L10" s="310"/>
      <c r="M10" s="310"/>
      <c r="N10" s="310"/>
      <c r="O10" s="310"/>
      <c r="P10" s="208">
        <v>0.33300000000000002</v>
      </c>
    </row>
    <row r="11" spans="2:22" x14ac:dyDescent="0.25">
      <c r="B11" s="159"/>
      <c r="C11" s="160"/>
      <c r="D11" s="160"/>
      <c r="E11" s="160"/>
      <c r="F11" s="160"/>
      <c r="G11" s="160"/>
      <c r="H11" s="160"/>
      <c r="I11" s="160"/>
      <c r="J11" s="160"/>
      <c r="K11" s="160"/>
      <c r="L11" s="160"/>
      <c r="M11" s="160"/>
      <c r="N11" s="160"/>
      <c r="O11" s="160"/>
      <c r="P11" s="160"/>
      <c r="Q11" s="160"/>
      <c r="R11" s="160"/>
      <c r="S11" s="160"/>
      <c r="T11" s="160"/>
      <c r="U11" s="160"/>
      <c r="V11" s="160"/>
    </row>
    <row r="12" spans="2:22" x14ac:dyDescent="0.25">
      <c r="B12" s="159"/>
      <c r="C12" s="160"/>
      <c r="D12" s="160"/>
      <c r="E12" s="160"/>
      <c r="F12" s="160"/>
      <c r="G12" s="160"/>
      <c r="H12" s="160"/>
      <c r="I12" s="160"/>
      <c r="J12" s="245" t="str">
        <f>"Wysokość  ze = "&amp;TEXT('Obliczenia wiatr I'!D46,"####0,0##")&amp;" m"</f>
        <v>Wysokość  ze = 25,0 m</v>
      </c>
      <c r="K12" s="245"/>
      <c r="L12" s="245"/>
      <c r="M12" s="245"/>
      <c r="N12" s="245"/>
      <c r="O12" s="160"/>
      <c r="P12" s="160"/>
      <c r="Q12" s="160"/>
      <c r="R12" s="160"/>
      <c r="S12" s="160"/>
      <c r="T12" s="160"/>
      <c r="U12" s="160"/>
      <c r="V12" s="160"/>
    </row>
    <row r="13" spans="2:22" x14ac:dyDescent="0.25">
      <c r="B13" s="159"/>
      <c r="C13" s="160"/>
      <c r="D13" s="160"/>
      <c r="E13" s="160"/>
      <c r="F13" s="160"/>
      <c r="G13" s="160"/>
      <c r="H13" s="160"/>
      <c r="I13" s="160"/>
      <c r="J13" s="245"/>
      <c r="K13" s="245"/>
      <c r="L13" s="245"/>
      <c r="M13" s="245"/>
      <c r="N13" s="245"/>
      <c r="O13" s="160"/>
      <c r="P13" s="160"/>
      <c r="Q13" s="160"/>
      <c r="R13" s="160"/>
      <c r="S13" s="160"/>
      <c r="T13" s="160"/>
      <c r="U13" s="160"/>
      <c r="V13" s="160"/>
    </row>
    <row r="14" spans="2:22" x14ac:dyDescent="0.25">
      <c r="J14" s="245"/>
      <c r="K14" s="245"/>
      <c r="L14" s="245"/>
      <c r="M14" s="245"/>
      <c r="N14" s="245"/>
    </row>
    <row r="15" spans="2:22" x14ac:dyDescent="0.25">
      <c r="I15" s="270" t="s">
        <v>180</v>
      </c>
      <c r="J15" s="308" t="str">
        <f>'Wyniki graficzne wiatr I'!J11</f>
        <v/>
      </c>
      <c r="K15" s="262" t="str">
        <f>'Wyniki graficzne wiatr I'!K11</f>
        <v/>
      </c>
      <c r="L15" s="262" t="str">
        <f>'Wyniki graficzne wiatr I'!L11</f>
        <v/>
      </c>
      <c r="M15" s="262" t="str">
        <f>'Wyniki graficzne wiatr I'!M11</f>
        <v/>
      </c>
      <c r="N15" s="262">
        <f>'Wyniki graficzne wiatr I'!N11</f>
        <v>10</v>
      </c>
      <c r="O15" s="1"/>
    </row>
    <row r="16" spans="2:22" x14ac:dyDescent="0.25">
      <c r="I16" s="270"/>
      <c r="J16" s="308"/>
      <c r="K16" s="262"/>
      <c r="L16" s="262"/>
      <c r="M16" s="262"/>
      <c r="N16" s="262"/>
      <c r="O16" s="1"/>
    </row>
    <row r="17" spans="5:21" x14ac:dyDescent="0.25">
      <c r="I17" s="270"/>
      <c r="J17" s="308"/>
      <c r="K17" s="262"/>
      <c r="L17" s="262"/>
      <c r="M17" s="262"/>
      <c r="N17" s="262"/>
      <c r="O17" s="1"/>
    </row>
    <row r="18" spans="5:21" x14ac:dyDescent="0.25">
      <c r="I18" s="270"/>
      <c r="J18" s="308"/>
      <c r="K18" s="262"/>
      <c r="L18" s="262"/>
      <c r="M18" s="262"/>
      <c r="N18" s="262"/>
      <c r="O18" s="1"/>
    </row>
    <row r="19" spans="5:21" ht="15" customHeight="1" x14ac:dyDescent="0.25">
      <c r="I19" s="292" t="s">
        <v>281</v>
      </c>
      <c r="J19" s="309">
        <f>$P$8*J63/'Łączniki wiatr I'!J21/$P$9</f>
        <v>0.35654369492677795</v>
      </c>
      <c r="K19" s="309">
        <f>$P$8*K63/'Łączniki wiatr I'!K21/$P$9</f>
        <v>0.35654369492677795</v>
      </c>
      <c r="L19" s="309">
        <f>$P$8*L63/'Łączniki wiatr I'!L21/$P$9</f>
        <v>0.35654369492677795</v>
      </c>
      <c r="M19" s="309">
        <f>$P$8*M63/'Łączniki wiatr I'!M21/$P$9</f>
        <v>0.35654369492677795</v>
      </c>
      <c r="N19" s="309">
        <f>$P$8*N63/'Łączniki wiatr I'!N21/$P$9</f>
        <v>0.35654369492677795</v>
      </c>
      <c r="O19" s="292" t="s">
        <v>281</v>
      </c>
    </row>
    <row r="20" spans="5:21" ht="15" customHeight="1" x14ac:dyDescent="0.25">
      <c r="I20" s="292"/>
      <c r="J20" s="309"/>
      <c r="K20" s="309"/>
      <c r="L20" s="309"/>
      <c r="M20" s="309"/>
      <c r="N20" s="309"/>
      <c r="O20" s="292"/>
    </row>
    <row r="21" spans="5:21" ht="15" customHeight="1" x14ac:dyDescent="0.25">
      <c r="I21" s="292" t="s">
        <v>289</v>
      </c>
      <c r="J21" s="299">
        <f>$P$8*J63/($P$9*$P$10)</f>
        <v>8.5656142925352068</v>
      </c>
      <c r="K21" s="299">
        <f t="shared" ref="K21:N21" si="0">$P$8*K63/($P$9*$P$10)</f>
        <v>8.5656142925352068</v>
      </c>
      <c r="L21" s="299">
        <f t="shared" si="0"/>
        <v>8.5656142925352068</v>
      </c>
      <c r="M21" s="299">
        <f t="shared" si="0"/>
        <v>8.5656142925352068</v>
      </c>
      <c r="N21" s="299">
        <f t="shared" si="0"/>
        <v>8.5656142925352068</v>
      </c>
      <c r="O21" s="292" t="s">
        <v>289</v>
      </c>
    </row>
    <row r="22" spans="5:21" ht="15" customHeight="1" x14ac:dyDescent="0.25">
      <c r="I22" s="292"/>
      <c r="J22" s="299"/>
      <c r="K22" s="299"/>
      <c r="L22" s="299"/>
      <c r="M22" s="299"/>
      <c r="N22" s="299"/>
      <c r="O22" s="292"/>
    </row>
    <row r="23" spans="5:21" ht="15.75" customHeight="1" thickBot="1" x14ac:dyDescent="0.3">
      <c r="F23" s="160"/>
      <c r="G23" s="190" t="s">
        <v>180</v>
      </c>
      <c r="H23" s="181" t="s">
        <v>282</v>
      </c>
      <c r="I23" s="292"/>
      <c r="J23" s="300"/>
      <c r="K23" s="300"/>
      <c r="L23" s="300"/>
      <c r="M23" s="300"/>
      <c r="N23" s="300"/>
      <c r="O23" s="292"/>
      <c r="P23" s="180" t="s">
        <v>282</v>
      </c>
      <c r="Q23" s="192" t="s">
        <v>180</v>
      </c>
    </row>
    <row r="24" spans="5:21" ht="15.75" customHeight="1" thickTop="1" x14ac:dyDescent="0.25">
      <c r="E24" s="244" t="str">
        <f>"Wysokość  ze = "&amp;TEXT('Obliczenia wiatr I'!C46,"####0,0##")&amp;" m"</f>
        <v>Wysokość  ze = 25,0 m</v>
      </c>
      <c r="F24" s="260" t="str">
        <f>TEXT(K75+K76+K77,"####0,0##")&amp;" m"</f>
        <v>28,0 m</v>
      </c>
      <c r="G24" s="262">
        <f>'Wyniki graficzne wiatr I'!G20</f>
        <v>2</v>
      </c>
      <c r="H24" s="309">
        <f>$P$8*I64/'Łączniki wiatr I'!I24/$P$9</f>
        <v>0.35654369492677795</v>
      </c>
      <c r="I24" s="290">
        <f>$P$8*I64/($P$9*$P$10)</f>
        <v>8.5656142925352068</v>
      </c>
      <c r="J24" s="74"/>
      <c r="K24" s="75"/>
      <c r="L24" s="87" t="s">
        <v>98</v>
      </c>
      <c r="M24" s="75"/>
      <c r="N24" s="76"/>
      <c r="O24" s="289">
        <f>$P$8*O64/($P$9*$P$10)</f>
        <v>8.5656142925352068</v>
      </c>
      <c r="P24" s="309">
        <f>$P$8*O64/'Łączniki wiatr I'!O24/$P$9</f>
        <v>0.35654369492677795</v>
      </c>
      <c r="Q24" s="262">
        <f>'Wyniki graficzne wiatr I'!Q20</f>
        <v>2</v>
      </c>
      <c r="R24" s="244" t="str">
        <f>"Wysokość  ze = "&amp;TEXT('Obliczenia wiatr I'!C46,"####0,0##")&amp;" m"</f>
        <v>Wysokość  ze = 25,0 m</v>
      </c>
    </row>
    <row r="25" spans="5:21" ht="15" customHeight="1" x14ac:dyDescent="0.25">
      <c r="E25" s="244"/>
      <c r="F25" s="260"/>
      <c r="G25" s="262"/>
      <c r="H25" s="309"/>
      <c r="I25" s="290"/>
      <c r="J25" s="271"/>
      <c r="K25" s="287"/>
      <c r="L25" s="77"/>
      <c r="M25" s="78"/>
      <c r="N25" s="79"/>
      <c r="O25" s="289"/>
      <c r="P25" s="309"/>
      <c r="Q25" s="262"/>
      <c r="R25" s="244"/>
    </row>
    <row r="26" spans="5:21" ht="15" customHeight="1" x14ac:dyDescent="0.25">
      <c r="E26" s="244"/>
      <c r="F26" s="260"/>
      <c r="G26" s="262"/>
      <c r="H26" s="309"/>
      <c r="I26" s="290"/>
      <c r="J26" s="271"/>
      <c r="K26" s="287"/>
      <c r="L26" s="77"/>
      <c r="M26" s="78"/>
      <c r="N26" s="79"/>
      <c r="O26" s="289"/>
      <c r="P26" s="309"/>
      <c r="Q26" s="262"/>
      <c r="R26" s="244"/>
    </row>
    <row r="27" spans="5:21" ht="15" customHeight="1" x14ac:dyDescent="0.25">
      <c r="E27" s="244"/>
      <c r="F27" s="260"/>
      <c r="G27" s="262"/>
      <c r="H27" s="309"/>
      <c r="I27" s="290"/>
      <c r="J27" s="80"/>
      <c r="K27" s="287"/>
      <c r="L27" s="77"/>
      <c r="M27" s="78"/>
      <c r="N27" s="79"/>
      <c r="O27" s="289"/>
      <c r="P27" s="309"/>
      <c r="Q27" s="262"/>
      <c r="R27" s="244"/>
    </row>
    <row r="28" spans="5:21" ht="15" customHeight="1" x14ac:dyDescent="0.25">
      <c r="E28" s="244"/>
      <c r="F28" s="260"/>
      <c r="G28" s="262">
        <f>'Wyniki graficzne wiatr I'!G24</f>
        <v>8</v>
      </c>
      <c r="H28" s="309">
        <f>$P$8*I65/'Łączniki wiatr I'!I28/$P$9</f>
        <v>0.37352196611376742</v>
      </c>
      <c r="I28" s="290">
        <f>$P$8*I65/($P$9*$P$10)</f>
        <v>6.730125515563377</v>
      </c>
      <c r="J28" s="80"/>
      <c r="K28" s="287"/>
      <c r="L28" s="77"/>
      <c r="M28" s="78"/>
      <c r="N28" s="79"/>
      <c r="O28" s="289">
        <f>$P$8*O65/($P$9*$P$10)</f>
        <v>6.730125515563377</v>
      </c>
      <c r="P28" s="309">
        <f>$P$8*O65/'Łączniki wiatr I'!O28/$P$9</f>
        <v>0.37352196611376742</v>
      </c>
      <c r="Q28" s="262">
        <f>'Wyniki graficzne wiatr I'!Q24</f>
        <v>8</v>
      </c>
      <c r="R28" s="244"/>
    </row>
    <row r="29" spans="5:21" ht="15" customHeight="1" x14ac:dyDescent="0.25">
      <c r="E29" s="244"/>
      <c r="F29" s="260"/>
      <c r="G29" s="262"/>
      <c r="H29" s="309"/>
      <c r="I29" s="290"/>
      <c r="J29" s="271"/>
      <c r="K29" s="287"/>
      <c r="L29" s="77"/>
      <c r="M29" s="78"/>
      <c r="N29" s="79"/>
      <c r="O29" s="289"/>
      <c r="P29" s="309"/>
      <c r="Q29" s="262"/>
      <c r="R29" s="244"/>
      <c r="U29" s="81"/>
    </row>
    <row r="30" spans="5:21" ht="15" customHeight="1" x14ac:dyDescent="0.25">
      <c r="E30" s="244"/>
      <c r="F30" s="260"/>
      <c r="G30" s="262"/>
      <c r="H30" s="309"/>
      <c r="I30" s="290"/>
      <c r="J30" s="271"/>
      <c r="K30" s="287"/>
      <c r="L30" s="77"/>
      <c r="M30" s="78"/>
      <c r="N30" s="79"/>
      <c r="O30" s="289"/>
      <c r="P30" s="309"/>
      <c r="Q30" s="262"/>
      <c r="R30" s="244"/>
      <c r="U30" s="81"/>
    </row>
    <row r="31" spans="5:21" ht="15" customHeight="1" x14ac:dyDescent="0.25">
      <c r="E31" s="244"/>
      <c r="F31" s="260"/>
      <c r="G31" s="262"/>
      <c r="H31" s="309"/>
      <c r="I31" s="290"/>
      <c r="J31" s="80"/>
      <c r="K31" s="287"/>
      <c r="L31" s="77"/>
      <c r="M31" s="78"/>
      <c r="N31" s="79"/>
      <c r="O31" s="289"/>
      <c r="P31" s="309"/>
      <c r="Q31" s="262"/>
      <c r="R31" s="244"/>
      <c r="U31" s="81"/>
    </row>
    <row r="32" spans="5:21" ht="15" customHeight="1" x14ac:dyDescent="0.25">
      <c r="E32" s="244"/>
      <c r="F32" s="260"/>
      <c r="G32" s="262">
        <f>'Wyniki graficzne wiatr I'!G28</f>
        <v>8</v>
      </c>
      <c r="H32" s="309">
        <f>$P$8*I66/'Łączniki wiatr I'!I32/$P$9</f>
        <v>0.23430014238045407</v>
      </c>
      <c r="I32" s="290">
        <f>$P$8*I66/($P$9*$P$10)</f>
        <v>3.5180201558626738</v>
      </c>
      <c r="J32" s="80"/>
      <c r="K32" s="287"/>
      <c r="L32" s="77"/>
      <c r="M32" s="78"/>
      <c r="N32" s="79"/>
      <c r="O32" s="289">
        <f>$P$8*O66/($P$9*$P$10)</f>
        <v>3.5180201558626738</v>
      </c>
      <c r="P32" s="309">
        <f>$P$8*O66/'Łączniki wiatr I'!O32/$P$9</f>
        <v>0.23430014238045407</v>
      </c>
      <c r="Q32" s="262">
        <f>'Wyniki graficzne wiatr I'!Q28</f>
        <v>8</v>
      </c>
      <c r="R32" s="244"/>
      <c r="U32" s="81"/>
    </row>
    <row r="33" spans="5:21" ht="15" customHeight="1" x14ac:dyDescent="0.25">
      <c r="E33" s="244"/>
      <c r="F33" s="260"/>
      <c r="G33" s="262"/>
      <c r="H33" s="309"/>
      <c r="I33" s="290"/>
      <c r="J33" s="265" t="s">
        <v>97</v>
      </c>
      <c r="K33" s="287"/>
      <c r="L33" s="284"/>
      <c r="M33" s="78"/>
      <c r="N33" s="266" t="s">
        <v>99</v>
      </c>
      <c r="O33" s="289"/>
      <c r="P33" s="309"/>
      <c r="Q33" s="262"/>
      <c r="R33" s="244"/>
      <c r="U33" s="81"/>
    </row>
    <row r="34" spans="5:21" ht="15" customHeight="1" x14ac:dyDescent="0.25">
      <c r="E34" s="244"/>
      <c r="F34" s="260"/>
      <c r="G34" s="262"/>
      <c r="H34" s="309"/>
      <c r="I34" s="290"/>
      <c r="J34" s="265"/>
      <c r="K34" s="287"/>
      <c r="L34" s="285"/>
      <c r="M34" s="78"/>
      <c r="N34" s="266"/>
      <c r="O34" s="289"/>
      <c r="P34" s="309"/>
      <c r="Q34" s="262"/>
      <c r="R34" s="244"/>
      <c r="U34" s="81"/>
    </row>
    <row r="35" spans="5:21" ht="15" customHeight="1" x14ac:dyDescent="0.25">
      <c r="E35" s="244"/>
      <c r="F35" s="260"/>
      <c r="G35" s="262"/>
      <c r="H35" s="309"/>
      <c r="I35" s="290"/>
      <c r="J35" s="161"/>
      <c r="K35" s="287"/>
      <c r="L35" s="77"/>
      <c r="M35" s="78"/>
      <c r="N35" s="79"/>
      <c r="O35" s="289"/>
      <c r="P35" s="309"/>
      <c r="Q35" s="262"/>
      <c r="R35" s="244"/>
      <c r="U35" s="81"/>
    </row>
    <row r="36" spans="5:21" ht="15" customHeight="1" x14ac:dyDescent="0.25">
      <c r="E36" s="244"/>
      <c r="F36" s="260"/>
      <c r="G36" s="262">
        <f>'Wyniki graficzne wiatr I'!G32</f>
        <v>8</v>
      </c>
      <c r="H36" s="309">
        <f>$P$8*I67/'Łączniki wiatr I'!I36/$P$9</f>
        <v>0.37352196611376742</v>
      </c>
      <c r="I36" s="290">
        <f>$P$8*I67/($P$9*$P$10)</f>
        <v>6.730125515563377</v>
      </c>
      <c r="J36" s="80"/>
      <c r="K36" s="287"/>
      <c r="L36" s="77"/>
      <c r="M36" s="78"/>
      <c r="N36" s="79"/>
      <c r="O36" s="289">
        <f>$P$8*O67/($P$9*$P$10)</f>
        <v>6.730125515563377</v>
      </c>
      <c r="P36" s="309">
        <f>$P$8*O67/'Łączniki wiatr I'!O36/$P$9</f>
        <v>0.37352196611376742</v>
      </c>
      <c r="Q36" s="262">
        <f>'Wyniki graficzne wiatr I'!Q32</f>
        <v>8</v>
      </c>
      <c r="R36" s="244"/>
    </row>
    <row r="37" spans="5:21" ht="15" customHeight="1" x14ac:dyDescent="0.25">
      <c r="E37" s="244"/>
      <c r="F37" s="260"/>
      <c r="G37" s="262"/>
      <c r="H37" s="309"/>
      <c r="I37" s="290"/>
      <c r="J37" s="271"/>
      <c r="K37" s="287"/>
      <c r="L37" s="77"/>
      <c r="M37" s="78"/>
      <c r="N37" s="79"/>
      <c r="O37" s="289"/>
      <c r="P37" s="309"/>
      <c r="Q37" s="262"/>
      <c r="R37" s="244"/>
    </row>
    <row r="38" spans="5:21" ht="15" customHeight="1" x14ac:dyDescent="0.25">
      <c r="E38" s="244"/>
      <c r="F38" s="260"/>
      <c r="G38" s="262"/>
      <c r="H38" s="309"/>
      <c r="I38" s="290"/>
      <c r="J38" s="271"/>
      <c r="K38" s="287"/>
      <c r="L38" s="77"/>
      <c r="M38" s="78"/>
      <c r="N38" s="79"/>
      <c r="O38" s="289"/>
      <c r="P38" s="309"/>
      <c r="Q38" s="262"/>
      <c r="R38" s="244"/>
    </row>
    <row r="39" spans="5:21" ht="15" customHeight="1" x14ac:dyDescent="0.25">
      <c r="E39" s="244"/>
      <c r="F39" s="260"/>
      <c r="G39" s="262"/>
      <c r="H39" s="309"/>
      <c r="I39" s="290"/>
      <c r="J39" s="80"/>
      <c r="K39" s="287"/>
      <c r="L39" s="77"/>
      <c r="M39" s="78"/>
      <c r="N39" s="79"/>
      <c r="O39" s="289"/>
      <c r="P39" s="309"/>
      <c r="Q39" s="262"/>
      <c r="R39" s="244"/>
    </row>
    <row r="40" spans="5:21" ht="15" customHeight="1" x14ac:dyDescent="0.25">
      <c r="E40" s="244"/>
      <c r="F40" s="260"/>
      <c r="G40" s="262">
        <f>'Wyniki graficzne wiatr I'!G36</f>
        <v>2</v>
      </c>
      <c r="H40" s="309">
        <f>$P$8*I68/'Łączniki wiatr I'!I40/$P$9</f>
        <v>0.35654369492677795</v>
      </c>
      <c r="I40" s="290">
        <f>$P$8*I68/($P$9*$P$10)</f>
        <v>8.5656142925352068</v>
      </c>
      <c r="J40" s="80"/>
      <c r="K40" s="287"/>
      <c r="L40" s="77"/>
      <c r="M40" s="78"/>
      <c r="N40" s="79"/>
      <c r="O40" s="289">
        <f>$P$8*O68/($P$9*$P$10)</f>
        <v>8.5656142925352068</v>
      </c>
      <c r="P40" s="309">
        <f>$P$8*O68/'Łączniki wiatr I'!O40/$P$9</f>
        <v>0.35654369492677795</v>
      </c>
      <c r="Q40" s="262">
        <f>'Wyniki graficzne wiatr I'!Q36</f>
        <v>2</v>
      </c>
      <c r="R40" s="244"/>
    </row>
    <row r="41" spans="5:21" ht="15" customHeight="1" x14ac:dyDescent="0.25">
      <c r="E41" s="244"/>
      <c r="F41" s="260"/>
      <c r="G41" s="262"/>
      <c r="H41" s="309"/>
      <c r="I41" s="290"/>
      <c r="J41" s="271"/>
      <c r="K41" s="287"/>
      <c r="L41" s="77"/>
      <c r="M41" s="78"/>
      <c r="N41" s="79"/>
      <c r="O41" s="289"/>
      <c r="P41" s="309"/>
      <c r="Q41" s="262"/>
      <c r="R41" s="244"/>
    </row>
    <row r="42" spans="5:21" ht="15" customHeight="1" x14ac:dyDescent="0.25">
      <c r="E42" s="244"/>
      <c r="F42" s="260"/>
      <c r="G42" s="262"/>
      <c r="H42" s="309"/>
      <c r="I42" s="290"/>
      <c r="J42" s="271"/>
      <c r="K42" s="287"/>
      <c r="L42" s="77"/>
      <c r="M42" s="78"/>
      <c r="N42" s="79"/>
      <c r="O42" s="289"/>
      <c r="P42" s="309"/>
      <c r="Q42" s="262"/>
      <c r="R42" s="244"/>
    </row>
    <row r="43" spans="5:21" ht="15.75" customHeight="1" thickBot="1" x14ac:dyDescent="0.3">
      <c r="E43" s="244"/>
      <c r="F43" s="260"/>
      <c r="G43" s="262"/>
      <c r="H43" s="309"/>
      <c r="I43" s="290"/>
      <c r="J43" s="83"/>
      <c r="K43" s="84"/>
      <c r="L43" s="88" t="s">
        <v>100</v>
      </c>
      <c r="M43" s="84"/>
      <c r="N43" s="85"/>
      <c r="O43" s="289"/>
      <c r="P43" s="309"/>
      <c r="Q43" s="262"/>
      <c r="R43" s="244"/>
    </row>
    <row r="44" spans="5:21" ht="15.75" customHeight="1" thickTop="1" x14ac:dyDescent="0.25">
      <c r="H44" s="185"/>
      <c r="I44" s="292" t="s">
        <v>289</v>
      </c>
      <c r="J44" s="295">
        <f>$P$8*J69/($P$9*$P$10)</f>
        <v>8.5656142925352068</v>
      </c>
      <c r="K44" s="295">
        <f t="shared" ref="K44:N44" si="1">$P$8*K69/($P$9*$P$10)</f>
        <v>8.5656142925352068</v>
      </c>
      <c r="L44" s="295">
        <f t="shared" si="1"/>
        <v>8.5656142925352068</v>
      </c>
      <c r="M44" s="295">
        <f t="shared" si="1"/>
        <v>8.5656142925352068</v>
      </c>
      <c r="N44" s="295">
        <f t="shared" si="1"/>
        <v>8.5656142925352068</v>
      </c>
      <c r="O44" s="187"/>
      <c r="P44" s="185"/>
    </row>
    <row r="45" spans="5:21" ht="15" customHeight="1" x14ac:dyDescent="0.25">
      <c r="I45" s="292"/>
      <c r="J45" s="299"/>
      <c r="K45" s="299"/>
      <c r="L45" s="299"/>
      <c r="M45" s="299"/>
      <c r="N45" s="299"/>
      <c r="O45" s="188"/>
    </row>
    <row r="46" spans="5:21" ht="15" customHeight="1" x14ac:dyDescent="0.25">
      <c r="I46" s="292"/>
      <c r="J46" s="299"/>
      <c r="K46" s="299"/>
      <c r="L46" s="299"/>
      <c r="M46" s="299"/>
      <c r="N46" s="299"/>
      <c r="O46" s="188"/>
    </row>
    <row r="47" spans="5:21" ht="15" customHeight="1" x14ac:dyDescent="0.25">
      <c r="I47" s="292" t="s">
        <v>281</v>
      </c>
      <c r="J47" s="309">
        <f>$P$8*J69/'Łączniki wiatr I'!J44/$P$9</f>
        <v>0.35654369492677795</v>
      </c>
      <c r="K47" s="309">
        <f>$P$8*K69/'Łączniki wiatr I'!K44/$P$9</f>
        <v>0.35654369492677795</v>
      </c>
      <c r="L47" s="309">
        <f>$P$8*L69/'Łączniki wiatr I'!L44/$P$9</f>
        <v>0.35654369492677795</v>
      </c>
      <c r="M47" s="309">
        <f>$P$8*M69/'Łączniki wiatr I'!M44/$P$9</f>
        <v>0.35654369492677795</v>
      </c>
      <c r="N47" s="309">
        <f>$P$8*N69/'Łączniki wiatr I'!N44/$P$9</f>
        <v>0.35654369492677795</v>
      </c>
      <c r="O47" s="188"/>
    </row>
    <row r="48" spans="5:21" ht="15" customHeight="1" x14ac:dyDescent="0.25">
      <c r="I48" s="292"/>
      <c r="J48" s="309"/>
      <c r="K48" s="309"/>
      <c r="L48" s="309"/>
      <c r="M48" s="309"/>
      <c r="N48" s="309"/>
      <c r="O48" s="188"/>
    </row>
    <row r="49" spans="7:15" x14ac:dyDescent="0.25">
      <c r="I49" s="297" t="s">
        <v>180</v>
      </c>
      <c r="J49" s="262" t="str">
        <f>'Wyniki graficzne wiatr I'!J45</f>
        <v/>
      </c>
      <c r="K49" s="262" t="str">
        <f>'Wyniki graficzne wiatr I'!K45</f>
        <v/>
      </c>
      <c r="L49" s="262" t="str">
        <f>'Wyniki graficzne wiatr I'!L45</f>
        <v/>
      </c>
      <c r="M49" s="262" t="str">
        <f>'Wyniki graficzne wiatr I'!M45</f>
        <v/>
      </c>
      <c r="N49" s="262">
        <f>'Wyniki graficzne wiatr I'!N45</f>
        <v>10</v>
      </c>
    </row>
    <row r="50" spans="7:15" x14ac:dyDescent="0.25">
      <c r="I50" s="297"/>
      <c r="J50" s="262"/>
      <c r="K50" s="262"/>
      <c r="L50" s="262"/>
      <c r="M50" s="262"/>
      <c r="N50" s="262"/>
    </row>
    <row r="51" spans="7:15" x14ac:dyDescent="0.25">
      <c r="I51" s="297"/>
      <c r="J51" s="262"/>
      <c r="K51" s="262"/>
      <c r="L51" s="262"/>
      <c r="M51" s="262"/>
      <c r="N51" s="262"/>
    </row>
    <row r="52" spans="7:15" x14ac:dyDescent="0.25">
      <c r="I52" s="297"/>
      <c r="J52" s="262"/>
      <c r="K52" s="262"/>
      <c r="L52" s="262"/>
      <c r="M52" s="262"/>
      <c r="N52" s="262"/>
    </row>
    <row r="53" spans="7:15" ht="15" customHeight="1" x14ac:dyDescent="0.25">
      <c r="I53" s="86"/>
      <c r="J53" s="262" t="str">
        <f>TEXT(N75+N76+N77,"####0,0##")&amp;" m"</f>
        <v>10,0 m</v>
      </c>
      <c r="K53" s="262"/>
      <c r="L53" s="262"/>
      <c r="M53" s="262"/>
      <c r="N53" s="262"/>
      <c r="O53" s="86"/>
    </row>
    <row r="54" spans="7:15" ht="15" customHeight="1" x14ac:dyDescent="0.25">
      <c r="I54" s="86"/>
      <c r="J54" s="262"/>
      <c r="K54" s="262"/>
      <c r="L54" s="262"/>
      <c r="M54" s="262"/>
      <c r="N54" s="262"/>
      <c r="O54" s="86"/>
    </row>
    <row r="55" spans="7:15" ht="15" customHeight="1" x14ac:dyDescent="0.25">
      <c r="I55" s="86"/>
      <c r="J55" s="262"/>
      <c r="K55" s="262"/>
      <c r="L55" s="262"/>
      <c r="M55" s="262"/>
      <c r="N55" s="262"/>
      <c r="O55" s="86"/>
    </row>
    <row r="56" spans="7:15" ht="15" customHeight="1" x14ac:dyDescent="0.25">
      <c r="I56" s="86"/>
      <c r="J56" s="282" t="str">
        <f>"Wysokość  ze = "&amp;TEXT('Obliczenia wiatr I'!D46,"####0,0##")&amp;" m"</f>
        <v>Wysokość  ze = 25,0 m</v>
      </c>
      <c r="K56" s="282"/>
      <c r="L56" s="282"/>
      <c r="M56" s="282"/>
      <c r="N56" s="282"/>
      <c r="O56" s="86"/>
    </row>
    <row r="57" spans="7:15" ht="15" customHeight="1" x14ac:dyDescent="0.25">
      <c r="I57" s="86"/>
      <c r="J57" s="282"/>
      <c r="K57" s="282"/>
      <c r="L57" s="282"/>
      <c r="M57" s="282"/>
      <c r="N57" s="282"/>
      <c r="O57" s="86"/>
    </row>
    <row r="58" spans="7:15" ht="15" customHeight="1" x14ac:dyDescent="0.25">
      <c r="I58" s="86"/>
      <c r="J58" s="282"/>
      <c r="K58" s="282"/>
      <c r="L58" s="282"/>
      <c r="M58" s="282"/>
      <c r="N58" s="282"/>
      <c r="O58" s="86"/>
    </row>
    <row r="61" spans="7:15" x14ac:dyDescent="0.25">
      <c r="J61" s="293" t="s">
        <v>280</v>
      </c>
      <c r="K61" s="293"/>
      <c r="L61" s="293"/>
      <c r="M61" s="293"/>
      <c r="N61" s="293"/>
    </row>
    <row r="63" spans="7:15" x14ac:dyDescent="0.25">
      <c r="J63" s="6">
        <f>'Wyniki graficzne wiatr I'!J15/'Obliczenia wiatr I'!C87</f>
        <v>1.4261747797071118</v>
      </c>
      <c r="K63" s="6">
        <f>'Wyniki graficzne wiatr I'!K15/'Obliczenia wiatr I'!C87</f>
        <v>1.4261747797071118</v>
      </c>
      <c r="L63" s="6">
        <f>'Wyniki graficzne wiatr I'!L15/'Obliczenia wiatr I'!C87</f>
        <v>1.4261747797071118</v>
      </c>
      <c r="M63" s="6">
        <f>'Wyniki graficzne wiatr I'!M15/'Obliczenia wiatr I'!C87</f>
        <v>1.4261747797071118</v>
      </c>
      <c r="N63" s="6">
        <f>'Wyniki graficzne wiatr I'!N15/'Obliczenia wiatr I'!C87</f>
        <v>1.4261747797071118</v>
      </c>
    </row>
    <row r="64" spans="7:15" x14ac:dyDescent="0.25">
      <c r="G64" s="16"/>
      <c r="I64" s="6">
        <f>'Wyniki graficzne wiatr I'!H20/'Obliczenia wiatr I'!C87</f>
        <v>1.4261747797071118</v>
      </c>
      <c r="O64" s="6">
        <f>'Wyniki graficzne wiatr I'!O20/'Obliczenia wiatr I'!C87</f>
        <v>1.4261747797071118</v>
      </c>
    </row>
    <row r="65" spans="2:21" x14ac:dyDescent="0.25">
      <c r="G65" s="16"/>
      <c r="I65" s="6">
        <f>'Wyniki graficzne wiatr I'!H24/'Obliczenia wiatr I'!C87</f>
        <v>1.1205658983413023</v>
      </c>
      <c r="O65" s="6">
        <f>'Wyniki graficzne wiatr I'!O24/'Obliczenia wiatr I'!C87</f>
        <v>1.1205658983413023</v>
      </c>
    </row>
    <row r="66" spans="2:21" x14ac:dyDescent="0.25">
      <c r="G66" s="16"/>
      <c r="I66" s="6">
        <f>'Wyniki graficzne wiatr I'!H28/'Obliczenia wiatr I'!C87</f>
        <v>0.58575035595113523</v>
      </c>
      <c r="O66" s="6">
        <f>'Wyniki graficzne wiatr I'!O28/'Obliczenia wiatr I'!C87</f>
        <v>0.58575035595113523</v>
      </c>
    </row>
    <row r="67" spans="2:21" x14ac:dyDescent="0.25">
      <c r="G67" s="16"/>
      <c r="I67" s="6">
        <f>'Wyniki graficzne wiatr I'!H32/'Obliczenia wiatr I'!C87</f>
        <v>1.1205658983413023</v>
      </c>
      <c r="O67" s="6">
        <f>'Wyniki graficzne wiatr I'!O32/'Obliczenia wiatr I'!C87</f>
        <v>1.1205658983413023</v>
      </c>
    </row>
    <row r="68" spans="2:21" x14ac:dyDescent="0.25">
      <c r="G68" s="16"/>
      <c r="I68" s="6">
        <f>'Wyniki graficzne wiatr I'!H36/'Obliczenia wiatr I'!C87</f>
        <v>1.4261747797071118</v>
      </c>
      <c r="O68" s="6">
        <f>'Wyniki graficzne wiatr I'!O36/'Obliczenia wiatr I'!C87</f>
        <v>1.4261747797071118</v>
      </c>
    </row>
    <row r="69" spans="2:21" x14ac:dyDescent="0.25">
      <c r="G69" s="16"/>
      <c r="J69" s="6">
        <f>'Wyniki graficzne wiatr I'!J40/'Obliczenia wiatr I'!C87</f>
        <v>1.4261747797071118</v>
      </c>
      <c r="K69" s="6">
        <f>'Wyniki graficzne wiatr I'!K40/'Obliczenia wiatr I'!C87</f>
        <v>1.4261747797071118</v>
      </c>
      <c r="L69" s="6">
        <f>'Wyniki graficzne wiatr I'!L40/'Obliczenia wiatr I'!C87</f>
        <v>1.4261747797071118</v>
      </c>
      <c r="M69" s="6">
        <f>'Wyniki graficzne wiatr I'!M40/'Obliczenia wiatr I'!C87</f>
        <v>1.4261747797071118</v>
      </c>
      <c r="N69" s="6">
        <f>'Wyniki graficzne wiatr I'!N40/'Obliczenia wiatr I'!C87</f>
        <v>1.4261747797071118</v>
      </c>
    </row>
    <row r="71" spans="2:21" x14ac:dyDescent="0.25">
      <c r="B71" s="158"/>
      <c r="H71" s="29"/>
      <c r="I71" s="29"/>
      <c r="J71" s="29"/>
      <c r="K71" s="29"/>
      <c r="L71" s="29"/>
      <c r="M71" s="29"/>
    </row>
    <row r="72" spans="2:21" x14ac:dyDescent="0.25">
      <c r="J72" s="294" t="s">
        <v>96</v>
      </c>
      <c r="K72" s="294"/>
      <c r="L72" s="294"/>
      <c r="M72" s="294"/>
      <c r="N72" s="294"/>
    </row>
    <row r="74" spans="2:21" x14ac:dyDescent="0.25">
      <c r="K74" s="13" t="s">
        <v>97</v>
      </c>
      <c r="L74" s="19" t="s">
        <v>98</v>
      </c>
      <c r="M74" s="13" t="s">
        <v>99</v>
      </c>
      <c r="N74" s="13" t="s">
        <v>100</v>
      </c>
    </row>
    <row r="75" spans="2:21" x14ac:dyDescent="0.25">
      <c r="G75" s="16"/>
      <c r="J75" s="13" t="s">
        <v>101</v>
      </c>
      <c r="K75">
        <f>'Obliczenia wiatr I'!C31</f>
        <v>2</v>
      </c>
      <c r="L75">
        <f>'Obliczenia wiatr I'!D31</f>
        <v>5.6</v>
      </c>
      <c r="M75">
        <f>'Obliczenia wiatr I'!C31</f>
        <v>2</v>
      </c>
      <c r="N75">
        <f>'Obliczenia wiatr I'!D31</f>
        <v>5.6</v>
      </c>
      <c r="R75" s="16"/>
      <c r="S75" s="16"/>
      <c r="T75" s="16"/>
      <c r="U75" s="16"/>
    </row>
    <row r="76" spans="2:21" x14ac:dyDescent="0.25">
      <c r="G76" s="16"/>
      <c r="J76" s="13" t="s">
        <v>102</v>
      </c>
      <c r="K76">
        <f>'Obliczenia wiatr I'!C32</f>
        <v>8</v>
      </c>
      <c r="L76">
        <f>'Obliczenia wiatr I'!D32</f>
        <v>4.4000000000000004</v>
      </c>
      <c r="M76">
        <f>'Obliczenia wiatr I'!C32</f>
        <v>8</v>
      </c>
      <c r="N76">
        <f>'Obliczenia wiatr I'!D32</f>
        <v>4.4000000000000004</v>
      </c>
      <c r="R76" s="16"/>
      <c r="S76" s="16"/>
      <c r="T76" s="16"/>
      <c r="U76" s="16"/>
    </row>
    <row r="77" spans="2:21" x14ac:dyDescent="0.25">
      <c r="G77" s="16"/>
      <c r="J77" s="13" t="s">
        <v>103</v>
      </c>
      <c r="K77" s="18">
        <f>'Obliczenia wiatr I'!C33</f>
        <v>18</v>
      </c>
      <c r="L77" s="18">
        <f>'Obliczenia wiatr I'!D33</f>
        <v>0</v>
      </c>
      <c r="M77" s="18">
        <f>'Obliczenia wiatr I'!C33</f>
        <v>18</v>
      </c>
      <c r="N77" s="18">
        <f>'Obliczenia wiatr I'!D33</f>
        <v>0</v>
      </c>
    </row>
    <row r="78" spans="2:21" x14ac:dyDescent="0.25">
      <c r="G78" s="16"/>
      <c r="J78" s="13"/>
    </row>
    <row r="79" spans="2:21" x14ac:dyDescent="0.25">
      <c r="G79" s="16"/>
      <c r="J79" s="13" t="s">
        <v>104</v>
      </c>
      <c r="K79" s="18">
        <f>'Obliczenia wiatr I'!C25</f>
        <v>10</v>
      </c>
      <c r="L79" s="18">
        <f>'Obliczenia wiatr I'!D25</f>
        <v>28</v>
      </c>
      <c r="M79" s="18">
        <f>'Obliczenia wiatr I'!C25</f>
        <v>10</v>
      </c>
      <c r="N79" s="18">
        <f>'Obliczenia wiatr I'!D25</f>
        <v>28</v>
      </c>
    </row>
  </sheetData>
  <sheetProtection algorithmName="SHA-512" hashValue="zxCZ5lZ7hSk/sYWeCz6DGaBc5SxanJEWiBzenuadalzlCX7zLyiWiuP8aVAmhiSSbyIVJe6kBlH7zEGRGk8GzQ==" saltValue="tmt2k29J1K/W035BbYjHVA==" spinCount="100000" sheet="1" objects="1" scenarios="1"/>
  <mergeCells count="90">
    <mergeCell ref="H10:O10"/>
    <mergeCell ref="B2:V3"/>
    <mergeCell ref="B4:V4"/>
    <mergeCell ref="B6:V6"/>
    <mergeCell ref="H8:O8"/>
    <mergeCell ref="H9:O9"/>
    <mergeCell ref="J12:N14"/>
    <mergeCell ref="I15:I18"/>
    <mergeCell ref="J15:J18"/>
    <mergeCell ref="K15:K18"/>
    <mergeCell ref="L15:L18"/>
    <mergeCell ref="M15:M18"/>
    <mergeCell ref="N15:N18"/>
    <mergeCell ref="O19:O20"/>
    <mergeCell ref="I21:I23"/>
    <mergeCell ref="J21:J23"/>
    <mergeCell ref="K21:K23"/>
    <mergeCell ref="L21:L23"/>
    <mergeCell ref="M21:M23"/>
    <mergeCell ref="N21:N23"/>
    <mergeCell ref="O21:O23"/>
    <mergeCell ref="I19:I20"/>
    <mergeCell ref="J19:J20"/>
    <mergeCell ref="K19:K20"/>
    <mergeCell ref="L19:L20"/>
    <mergeCell ref="M19:M20"/>
    <mergeCell ref="N19:N20"/>
    <mergeCell ref="E24:E43"/>
    <mergeCell ref="F24:F43"/>
    <mergeCell ref="G24:G27"/>
    <mergeCell ref="H24:H27"/>
    <mergeCell ref="I24:I27"/>
    <mergeCell ref="G36:G39"/>
    <mergeCell ref="H36:H39"/>
    <mergeCell ref="I36:I39"/>
    <mergeCell ref="G32:G35"/>
    <mergeCell ref="H32:H35"/>
    <mergeCell ref="I32:I35"/>
    <mergeCell ref="G28:G31"/>
    <mergeCell ref="H28:H31"/>
    <mergeCell ref="I28:I31"/>
    <mergeCell ref="P24:P27"/>
    <mergeCell ref="Q24:Q27"/>
    <mergeCell ref="R24:R43"/>
    <mergeCell ref="J25:J26"/>
    <mergeCell ref="K25:K42"/>
    <mergeCell ref="O28:O31"/>
    <mergeCell ref="P28:P31"/>
    <mergeCell ref="O24:O27"/>
    <mergeCell ref="N33:N34"/>
    <mergeCell ref="Q28:Q31"/>
    <mergeCell ref="J29:J30"/>
    <mergeCell ref="O32:O35"/>
    <mergeCell ref="P32:P35"/>
    <mergeCell ref="Q32:Q35"/>
    <mergeCell ref="J33:J34"/>
    <mergeCell ref="L33:L34"/>
    <mergeCell ref="O36:O39"/>
    <mergeCell ref="P36:P39"/>
    <mergeCell ref="Q36:Q39"/>
    <mergeCell ref="J37:J38"/>
    <mergeCell ref="G40:G43"/>
    <mergeCell ref="H40:H43"/>
    <mergeCell ref="I40:I43"/>
    <mergeCell ref="O40:O43"/>
    <mergeCell ref="P40:P43"/>
    <mergeCell ref="Q40:Q43"/>
    <mergeCell ref="J41:J42"/>
    <mergeCell ref="I44:I46"/>
    <mergeCell ref="J44:J46"/>
    <mergeCell ref="K44:K46"/>
    <mergeCell ref="L44:L46"/>
    <mergeCell ref="N44:N46"/>
    <mergeCell ref="I47:I48"/>
    <mergeCell ref="J47:J48"/>
    <mergeCell ref="K47:K48"/>
    <mergeCell ref="L47:L48"/>
    <mergeCell ref="M47:M48"/>
    <mergeCell ref="N47:N48"/>
    <mergeCell ref="M44:M46"/>
    <mergeCell ref="J53:N55"/>
    <mergeCell ref="J56:N58"/>
    <mergeCell ref="J61:N61"/>
    <mergeCell ref="J72:N72"/>
    <mergeCell ref="I49:I52"/>
    <mergeCell ref="J49:J52"/>
    <mergeCell ref="K49:K52"/>
    <mergeCell ref="L49:L52"/>
    <mergeCell ref="M49:M52"/>
    <mergeCell ref="N49:N52"/>
  </mergeCells>
  <conditionalFormatting sqref="J21:N21 I24 I28 I32 I36 I40 O24:O43 J44:N46">
    <cfRule type="colorScale" priority="2">
      <colorScale>
        <cfvo type="min"/>
        <cfvo type="max"/>
        <color rgb="FFFFFF00"/>
        <color rgb="FFFF0000"/>
      </colorScale>
    </cfRule>
  </conditionalFormatting>
  <conditionalFormatting sqref="J19:N19 H24 H28 H32 H36 H40 P24:P43 J47:N48">
    <cfRule type="colorScale" priority="1">
      <colorScale>
        <cfvo type="min"/>
        <cfvo type="max"/>
        <color rgb="FF66FFFF"/>
        <color rgb="FF00B0F0"/>
      </colorScale>
    </cfRule>
  </conditionalFormatting>
  <pageMargins left="0.7" right="0.7" top="0.75" bottom="0.75" header="0.3" footer="0.3"/>
  <pageSetup paperSize="9" orientation="portrait" horizontalDpi="1200" verticalDpi="1200" r:id="rId1"/>
  <ignoredErrors>
    <ignoredError sqref="L75:M77 L79:M79" formula="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V79"/>
  <sheetViews>
    <sheetView zoomScaleNormal="100" workbookViewId="0">
      <selection activeCell="B2" sqref="B2:V3"/>
    </sheetView>
  </sheetViews>
  <sheetFormatPr defaultRowHeight="15" x14ac:dyDescent="0.25"/>
  <sheetData>
    <row r="2" spans="2:22" x14ac:dyDescent="0.25">
      <c r="B2" s="311" t="s">
        <v>325</v>
      </c>
      <c r="C2" s="311"/>
      <c r="D2" s="311"/>
      <c r="E2" s="311"/>
      <c r="F2" s="311"/>
      <c r="G2" s="311"/>
      <c r="H2" s="311"/>
      <c r="I2" s="311"/>
      <c r="J2" s="311"/>
      <c r="K2" s="311"/>
      <c r="L2" s="311"/>
      <c r="M2" s="311"/>
      <c r="N2" s="311"/>
      <c r="O2" s="311"/>
      <c r="P2" s="311"/>
      <c r="Q2" s="311"/>
      <c r="R2" s="311"/>
      <c r="S2" s="311"/>
      <c r="T2" s="311"/>
      <c r="U2" s="311"/>
      <c r="V2" s="311"/>
    </row>
    <row r="3" spans="2:22" x14ac:dyDescent="0.25">
      <c r="B3" s="311"/>
      <c r="C3" s="311"/>
      <c r="D3" s="311"/>
      <c r="E3" s="311"/>
      <c r="F3" s="311"/>
      <c r="G3" s="311"/>
      <c r="H3" s="311"/>
      <c r="I3" s="311"/>
      <c r="J3" s="311"/>
      <c r="K3" s="311"/>
      <c r="L3" s="311"/>
      <c r="M3" s="311"/>
      <c r="N3" s="311"/>
      <c r="O3" s="311"/>
      <c r="P3" s="311"/>
      <c r="Q3" s="311"/>
      <c r="R3" s="311"/>
      <c r="S3" s="311"/>
      <c r="T3" s="311"/>
      <c r="U3" s="311"/>
      <c r="V3" s="311"/>
    </row>
    <row r="4" spans="2:22" x14ac:dyDescent="0.25">
      <c r="B4" s="312" t="s">
        <v>254</v>
      </c>
      <c r="C4" s="312"/>
      <c r="D4" s="312"/>
      <c r="E4" s="312"/>
      <c r="F4" s="312"/>
      <c r="G4" s="312"/>
      <c r="H4" s="312"/>
      <c r="I4" s="312"/>
      <c r="J4" s="312"/>
      <c r="K4" s="312"/>
      <c r="L4" s="312"/>
      <c r="M4" s="312"/>
      <c r="N4" s="312"/>
      <c r="O4" s="312"/>
      <c r="P4" s="312"/>
      <c r="Q4" s="312"/>
      <c r="R4" s="312"/>
      <c r="S4" s="312"/>
      <c r="T4" s="312"/>
      <c r="U4" s="312"/>
      <c r="V4" s="312"/>
    </row>
    <row r="6" spans="2:22" x14ac:dyDescent="0.25">
      <c r="B6" s="247" t="s">
        <v>95</v>
      </c>
      <c r="C6" s="248"/>
      <c r="D6" s="248"/>
      <c r="E6" s="248"/>
      <c r="F6" s="248"/>
      <c r="G6" s="248"/>
      <c r="H6" s="248"/>
      <c r="I6" s="248"/>
      <c r="J6" s="248"/>
      <c r="K6" s="248"/>
      <c r="L6" s="248"/>
      <c r="M6" s="248"/>
      <c r="N6" s="248"/>
      <c r="O6" s="248"/>
      <c r="P6" s="248"/>
      <c r="Q6" s="248"/>
      <c r="R6" s="248"/>
      <c r="S6" s="248"/>
      <c r="T6" s="248"/>
      <c r="U6" s="248"/>
      <c r="V6" s="248"/>
    </row>
    <row r="7" spans="2:22" x14ac:dyDescent="0.25">
      <c r="B7" s="152"/>
      <c r="C7" s="153"/>
      <c r="D7" s="153"/>
      <c r="E7" s="153"/>
      <c r="F7" s="153"/>
      <c r="G7" s="153"/>
      <c r="H7" s="153"/>
      <c r="I7" s="153"/>
      <c r="J7" s="153"/>
      <c r="K7" s="153"/>
      <c r="L7" s="153"/>
      <c r="M7" s="153"/>
      <c r="N7" s="153"/>
      <c r="O7" s="153"/>
      <c r="P7" s="153"/>
      <c r="Q7" s="153"/>
      <c r="R7" s="153"/>
      <c r="S7" s="153"/>
      <c r="T7" s="153"/>
      <c r="U7" s="153"/>
      <c r="V7" s="153"/>
    </row>
    <row r="8" spans="2:22" x14ac:dyDescent="0.25">
      <c r="H8" s="310" t="s">
        <v>283</v>
      </c>
      <c r="I8" s="310"/>
      <c r="J8" s="310"/>
      <c r="K8" s="310"/>
      <c r="L8" s="310"/>
      <c r="M8" s="310"/>
      <c r="N8" s="310"/>
      <c r="O8" s="310"/>
      <c r="P8" s="196">
        <v>0.8</v>
      </c>
    </row>
    <row r="9" spans="2:22" x14ac:dyDescent="0.25">
      <c r="H9" s="310" t="s">
        <v>256</v>
      </c>
      <c r="I9" s="310"/>
      <c r="J9" s="310"/>
      <c r="K9" s="310"/>
      <c r="L9" s="310"/>
      <c r="M9" s="310"/>
      <c r="N9" s="310"/>
      <c r="O9" s="310"/>
      <c r="P9" s="196">
        <v>0.4</v>
      </c>
    </row>
    <row r="10" spans="2:22" x14ac:dyDescent="0.25">
      <c r="H10" s="310" t="s">
        <v>257</v>
      </c>
      <c r="I10" s="310"/>
      <c r="J10" s="310"/>
      <c r="K10" s="310"/>
      <c r="L10" s="310"/>
      <c r="M10" s="310"/>
      <c r="N10" s="310"/>
      <c r="O10" s="310"/>
      <c r="P10" s="208">
        <v>0.33300000000000002</v>
      </c>
    </row>
    <row r="11" spans="2:22" x14ac:dyDescent="0.25">
      <c r="B11" s="152"/>
      <c r="C11" s="153"/>
      <c r="D11" s="153"/>
      <c r="E11" s="153"/>
      <c r="F11" s="153"/>
      <c r="G11" s="153"/>
      <c r="H11" s="153"/>
      <c r="I11" s="153"/>
      <c r="J11" s="153"/>
      <c r="K11" s="153"/>
      <c r="L11" s="153"/>
      <c r="M11" s="153"/>
      <c r="N11" s="153"/>
      <c r="O11" s="153"/>
      <c r="P11" s="153"/>
      <c r="Q11" s="153"/>
      <c r="R11" s="153"/>
      <c r="S11" s="153"/>
      <c r="T11" s="153"/>
      <c r="U11" s="153"/>
      <c r="V11" s="153"/>
    </row>
    <row r="12" spans="2:22" x14ac:dyDescent="0.25">
      <c r="B12" s="152"/>
      <c r="C12" s="153"/>
      <c r="D12" s="153"/>
      <c r="E12" s="153"/>
      <c r="F12" s="153"/>
      <c r="G12" s="153"/>
      <c r="H12" s="153"/>
      <c r="I12" s="153"/>
      <c r="J12" s="245" t="str">
        <f>"Wysokość  ze = "&amp;TEXT('Obliczenia wiatr II'!E42,"####0,0##")&amp;" m"</f>
        <v>Wysokość  ze = 25,0 m</v>
      </c>
      <c r="K12" s="245"/>
      <c r="L12" s="245"/>
      <c r="M12" s="245"/>
      <c r="N12" s="245"/>
      <c r="O12" s="153"/>
      <c r="P12" s="153"/>
      <c r="Q12" s="153"/>
      <c r="R12" s="153"/>
      <c r="S12" s="153"/>
      <c r="T12" s="153"/>
      <c r="U12" s="153"/>
      <c r="V12" s="153"/>
    </row>
    <row r="13" spans="2:22" x14ac:dyDescent="0.25">
      <c r="B13" s="152"/>
      <c r="C13" s="153"/>
      <c r="D13" s="153"/>
      <c r="E13" s="153"/>
      <c r="F13" s="153"/>
      <c r="G13" s="153"/>
      <c r="H13" s="153"/>
      <c r="I13" s="153"/>
      <c r="J13" s="245"/>
      <c r="K13" s="245"/>
      <c r="L13" s="245"/>
      <c r="M13" s="245"/>
      <c r="N13" s="245"/>
      <c r="O13" s="153"/>
      <c r="P13" s="153"/>
      <c r="Q13" s="153"/>
      <c r="R13" s="153"/>
      <c r="S13" s="153"/>
      <c r="T13" s="153"/>
      <c r="U13" s="153"/>
      <c r="V13" s="153"/>
    </row>
    <row r="14" spans="2:22" x14ac:dyDescent="0.25">
      <c r="J14" s="245"/>
      <c r="K14" s="245"/>
      <c r="L14" s="245"/>
      <c r="M14" s="245"/>
      <c r="N14" s="245"/>
    </row>
    <row r="15" spans="2:22" x14ac:dyDescent="0.25">
      <c r="I15" s="270" t="s">
        <v>180</v>
      </c>
      <c r="J15" s="308">
        <f>'Wyniki graficzne wiatr II'!J11</f>
        <v>5.6</v>
      </c>
      <c r="K15" s="262" t="str">
        <f>'Wyniki graficzne wiatr II'!K11</f>
        <v/>
      </c>
      <c r="L15" s="262">
        <f>'Wyniki graficzne wiatr II'!L11</f>
        <v>4.4000000000000004</v>
      </c>
      <c r="M15" s="262" t="str">
        <f>'Wyniki graficzne wiatr II'!M11</f>
        <v/>
      </c>
      <c r="N15" s="262" t="str">
        <f>'Wyniki graficzne wiatr II'!N11</f>
        <v/>
      </c>
      <c r="O15" s="1"/>
    </row>
    <row r="16" spans="2:22" x14ac:dyDescent="0.25">
      <c r="I16" s="270"/>
      <c r="J16" s="308"/>
      <c r="K16" s="262"/>
      <c r="L16" s="262"/>
      <c r="M16" s="262"/>
      <c r="N16" s="262"/>
      <c r="O16" s="1"/>
    </row>
    <row r="17" spans="5:21" x14ac:dyDescent="0.25">
      <c r="I17" s="270"/>
      <c r="J17" s="308"/>
      <c r="K17" s="262"/>
      <c r="L17" s="262"/>
      <c r="M17" s="262"/>
      <c r="N17" s="262"/>
      <c r="O17" s="1"/>
    </row>
    <row r="18" spans="5:21" x14ac:dyDescent="0.25">
      <c r="I18" s="270"/>
      <c r="J18" s="308"/>
      <c r="K18" s="262"/>
      <c r="L18" s="262"/>
      <c r="M18" s="262"/>
      <c r="N18" s="262"/>
      <c r="O18" s="1"/>
    </row>
    <row r="19" spans="5:21" ht="15" customHeight="1" x14ac:dyDescent="0.25">
      <c r="I19" s="292" t="s">
        <v>281</v>
      </c>
      <c r="J19" s="309">
        <f>$P$8*J63/'Łączniki wiatr II'!J21/$P$9</f>
        <v>0.35654369492677795</v>
      </c>
      <c r="K19" s="309">
        <f>$P$8*K63/'Łączniki wiatr II'!K21/$P$9</f>
        <v>0.35654369492677795</v>
      </c>
      <c r="L19" s="309">
        <f>$P$8*L63/'Łączniki wiatr II'!L21/$P$9</f>
        <v>0.37352196611376742</v>
      </c>
      <c r="M19" s="309">
        <f>$P$8*M63/'Łączniki wiatr II'!M21/$P$9</f>
        <v>0.37352196611376742</v>
      </c>
      <c r="N19" s="309">
        <f>$P$8*N63/'Łączniki wiatr II'!N21/$P$9</f>
        <v>0.37352196611376742</v>
      </c>
      <c r="O19" s="292" t="s">
        <v>281</v>
      </c>
    </row>
    <row r="20" spans="5:21" ht="15" customHeight="1" x14ac:dyDescent="0.25">
      <c r="I20" s="292"/>
      <c r="J20" s="309"/>
      <c r="K20" s="309"/>
      <c r="L20" s="309"/>
      <c r="M20" s="309"/>
      <c r="N20" s="309"/>
      <c r="O20" s="292"/>
    </row>
    <row r="21" spans="5:21" ht="15" customHeight="1" x14ac:dyDescent="0.25">
      <c r="I21" s="292" t="s">
        <v>289</v>
      </c>
      <c r="J21" s="299">
        <f>$P$8*J63/($P$9*$P$10)</f>
        <v>8.5656142925352068</v>
      </c>
      <c r="K21" s="299">
        <f t="shared" ref="K21:N21" si="0">$P$8*K63/($P$9*$P$10)</f>
        <v>8.5656142925352068</v>
      </c>
      <c r="L21" s="299">
        <f t="shared" si="0"/>
        <v>6.730125515563377</v>
      </c>
      <c r="M21" s="299">
        <f t="shared" si="0"/>
        <v>6.730125515563377</v>
      </c>
      <c r="N21" s="299">
        <f t="shared" si="0"/>
        <v>6.730125515563377</v>
      </c>
      <c r="O21" s="292" t="s">
        <v>289</v>
      </c>
    </row>
    <row r="22" spans="5:21" ht="15" customHeight="1" x14ac:dyDescent="0.25">
      <c r="I22" s="292"/>
      <c r="J22" s="299"/>
      <c r="K22" s="299"/>
      <c r="L22" s="299"/>
      <c r="M22" s="299"/>
      <c r="N22" s="299"/>
      <c r="O22" s="292"/>
    </row>
    <row r="23" spans="5:21" ht="15.75" customHeight="1" thickBot="1" x14ac:dyDescent="0.3">
      <c r="F23" s="153"/>
      <c r="G23" s="190" t="s">
        <v>180</v>
      </c>
      <c r="H23" s="181" t="s">
        <v>282</v>
      </c>
      <c r="I23" s="292"/>
      <c r="J23" s="300"/>
      <c r="K23" s="300"/>
      <c r="L23" s="300"/>
      <c r="M23" s="300"/>
      <c r="N23" s="300"/>
      <c r="O23" s="292"/>
      <c r="P23" s="180" t="s">
        <v>282</v>
      </c>
      <c r="Q23" s="192" t="s">
        <v>180</v>
      </c>
    </row>
    <row r="24" spans="5:21" ht="15.75" customHeight="1" thickTop="1" x14ac:dyDescent="0.25">
      <c r="E24" s="244" t="str">
        <f>"Wysokość  ze = "&amp;TEXT('Obliczenia wiatr II'!D42,"####0,0##")&amp;" m"</f>
        <v>Wysokość  ze = 25,0 m</v>
      </c>
      <c r="F24" s="260" t="str">
        <f>TEXT(K75+K76+K77,"####0,0##")&amp;" m"</f>
        <v>28,0 m</v>
      </c>
      <c r="G24" s="262">
        <f>'Wyniki graficzne wiatr II'!G20</f>
        <v>2</v>
      </c>
      <c r="H24" s="309">
        <f>$P$8*I64/'Łączniki wiatr II'!I24/$P$9</f>
        <v>0.35654369492677795</v>
      </c>
      <c r="I24" s="290">
        <f>$P$8*I64/($P$9*$P$10)</f>
        <v>8.5656142925352068</v>
      </c>
      <c r="J24" s="74"/>
      <c r="K24" s="286" t="str">
        <f>"Przyjęta oś budynku, odchylona o kąt "&amp;TEXT('Obliczenia wiatr II'!C11,"####0,0##")&amp;"° od kierunku N"</f>
        <v>Przyjęta oś budynku, odchylona o kąt 10,0° od kierunku N</v>
      </c>
      <c r="L24" s="87" t="s">
        <v>98</v>
      </c>
      <c r="M24" s="75"/>
      <c r="N24" s="76"/>
      <c r="O24" s="289">
        <f>$P$8*O64/($P$9*$P$10)</f>
        <v>8.5656142925352068</v>
      </c>
      <c r="P24" s="309">
        <f>$P$8*O64/'Łączniki wiatr II'!O24/$P$9</f>
        <v>0.35654369492677795</v>
      </c>
      <c r="Q24" s="262">
        <f>'Wyniki graficzne wiatr II'!Q20</f>
        <v>2</v>
      </c>
      <c r="R24" s="244" t="str">
        <f>"Wysokość  ze = "&amp;TEXT('Obliczenia wiatr II'!D42,"####0,0##")&amp;" m"</f>
        <v>Wysokość  ze = 25,0 m</v>
      </c>
    </row>
    <row r="25" spans="5:21" ht="15" customHeight="1" x14ac:dyDescent="0.25">
      <c r="E25" s="244"/>
      <c r="F25" s="260"/>
      <c r="G25" s="262"/>
      <c r="H25" s="309"/>
      <c r="I25" s="290"/>
      <c r="J25" s="271"/>
      <c r="K25" s="287"/>
      <c r="L25" s="77"/>
      <c r="M25" s="78"/>
      <c r="N25" s="79"/>
      <c r="O25" s="289"/>
      <c r="P25" s="309"/>
      <c r="Q25" s="262"/>
      <c r="R25" s="244"/>
    </row>
    <row r="26" spans="5:21" ht="15" customHeight="1" x14ac:dyDescent="0.25">
      <c r="E26" s="244"/>
      <c r="F26" s="260"/>
      <c r="G26" s="262"/>
      <c r="H26" s="309"/>
      <c r="I26" s="290"/>
      <c r="J26" s="271"/>
      <c r="K26" s="287"/>
      <c r="L26" s="77"/>
      <c r="M26" s="78"/>
      <c r="N26" s="79"/>
      <c r="O26" s="289"/>
      <c r="P26" s="309"/>
      <c r="Q26" s="262"/>
      <c r="R26" s="244"/>
    </row>
    <row r="27" spans="5:21" ht="15" customHeight="1" x14ac:dyDescent="0.25">
      <c r="E27" s="244"/>
      <c r="F27" s="260"/>
      <c r="G27" s="262"/>
      <c r="H27" s="309"/>
      <c r="I27" s="290"/>
      <c r="J27" s="80"/>
      <c r="K27" s="287"/>
      <c r="L27" s="77"/>
      <c r="M27" s="78"/>
      <c r="N27" s="79"/>
      <c r="O27" s="289"/>
      <c r="P27" s="309"/>
      <c r="Q27" s="262"/>
      <c r="R27" s="244"/>
    </row>
    <row r="28" spans="5:21" ht="15" customHeight="1" x14ac:dyDescent="0.25">
      <c r="E28" s="244"/>
      <c r="F28" s="260"/>
      <c r="G28" s="262">
        <f>'Wyniki graficzne wiatr II'!G24</f>
        <v>8</v>
      </c>
      <c r="H28" s="309">
        <f>$P$8*I65/'Łączniki wiatr II'!I28/$P$9</f>
        <v>0.37352196611376742</v>
      </c>
      <c r="I28" s="290">
        <f>$P$8*I65/($P$9*$P$10)</f>
        <v>6.730125515563377</v>
      </c>
      <c r="J28" s="80"/>
      <c r="K28" s="287"/>
      <c r="L28" s="77"/>
      <c r="M28" s="78"/>
      <c r="N28" s="79"/>
      <c r="O28" s="289">
        <f>$P$8*O65/($P$9*$P$10)</f>
        <v>6.730125515563377</v>
      </c>
      <c r="P28" s="309">
        <f>$P$8*O65/'Łączniki wiatr II'!O28/$P$9</f>
        <v>0.37352196611376742</v>
      </c>
      <c r="Q28" s="262">
        <f>'Wyniki graficzne wiatr II'!Q24</f>
        <v>8</v>
      </c>
      <c r="R28" s="244"/>
    </row>
    <row r="29" spans="5:21" ht="15" customHeight="1" x14ac:dyDescent="0.25">
      <c r="E29" s="244"/>
      <c r="F29" s="260"/>
      <c r="G29" s="262"/>
      <c r="H29" s="309"/>
      <c r="I29" s="290"/>
      <c r="J29" s="271"/>
      <c r="K29" s="287"/>
      <c r="L29" s="77"/>
      <c r="M29" s="78"/>
      <c r="N29" s="79"/>
      <c r="O29" s="289"/>
      <c r="P29" s="309"/>
      <c r="Q29" s="262"/>
      <c r="R29" s="244"/>
      <c r="U29" s="81"/>
    </row>
    <row r="30" spans="5:21" ht="15" customHeight="1" x14ac:dyDescent="0.25">
      <c r="E30" s="244"/>
      <c r="F30" s="260"/>
      <c r="G30" s="262"/>
      <c r="H30" s="309"/>
      <c r="I30" s="290"/>
      <c r="J30" s="271"/>
      <c r="K30" s="287"/>
      <c r="L30" s="77"/>
      <c r="M30" s="78"/>
      <c r="N30" s="79"/>
      <c r="O30" s="289"/>
      <c r="P30" s="309"/>
      <c r="Q30" s="262"/>
      <c r="R30" s="244"/>
      <c r="U30" s="81"/>
    </row>
    <row r="31" spans="5:21" ht="15" customHeight="1" x14ac:dyDescent="0.25">
      <c r="E31" s="244"/>
      <c r="F31" s="260"/>
      <c r="G31" s="262"/>
      <c r="H31" s="309"/>
      <c r="I31" s="290"/>
      <c r="J31" s="80"/>
      <c r="K31" s="287"/>
      <c r="L31" s="77"/>
      <c r="M31" s="78"/>
      <c r="N31" s="79"/>
      <c r="O31" s="289"/>
      <c r="P31" s="309"/>
      <c r="Q31" s="262"/>
      <c r="R31" s="244"/>
      <c r="U31" s="81"/>
    </row>
    <row r="32" spans="5:21" ht="15" customHeight="1" x14ac:dyDescent="0.25">
      <c r="E32" s="244"/>
      <c r="F32" s="260"/>
      <c r="G32" s="262">
        <f>'Wyniki graficzne wiatr II'!G28</f>
        <v>8</v>
      </c>
      <c r="H32" s="309">
        <f>$P$8*I66/'Łączniki wiatr II'!I32/$P$9</f>
        <v>0.20373925424387312</v>
      </c>
      <c r="I32" s="290">
        <f>$P$8*I66/($P$9*$P$10)</f>
        <v>3.0591479616197166</v>
      </c>
      <c r="J32" s="80"/>
      <c r="K32" s="287"/>
      <c r="L32" s="77"/>
      <c r="M32" s="78"/>
      <c r="N32" s="79"/>
      <c r="O32" s="289">
        <f>$P$8*O66/($P$9*$P$10)</f>
        <v>3.5180201558626738</v>
      </c>
      <c r="P32" s="309">
        <f>$P$8*O66/'Łączniki wiatr II'!O32/$P$9</f>
        <v>0.23430014238045407</v>
      </c>
      <c r="Q32" s="262">
        <f>'Wyniki graficzne wiatr II'!Q28</f>
        <v>16</v>
      </c>
      <c r="R32" s="244"/>
      <c r="U32" s="81"/>
    </row>
    <row r="33" spans="5:21" ht="15" customHeight="1" x14ac:dyDescent="0.25">
      <c r="E33" s="244"/>
      <c r="F33" s="260"/>
      <c r="G33" s="262"/>
      <c r="H33" s="309"/>
      <c r="I33" s="290"/>
      <c r="J33" s="265" t="s">
        <v>97</v>
      </c>
      <c r="K33" s="287"/>
      <c r="L33" s="284" t="s">
        <v>88</v>
      </c>
      <c r="M33" s="78"/>
      <c r="N33" s="266" t="s">
        <v>99</v>
      </c>
      <c r="O33" s="289"/>
      <c r="P33" s="309"/>
      <c r="Q33" s="262"/>
      <c r="R33" s="244"/>
      <c r="U33" s="81"/>
    </row>
    <row r="34" spans="5:21" ht="15" customHeight="1" x14ac:dyDescent="0.25">
      <c r="E34" s="244"/>
      <c r="F34" s="260"/>
      <c r="G34" s="262"/>
      <c r="H34" s="309"/>
      <c r="I34" s="290"/>
      <c r="J34" s="265"/>
      <c r="K34" s="287"/>
      <c r="L34" s="285"/>
      <c r="M34" s="78"/>
      <c r="N34" s="266"/>
      <c r="O34" s="289"/>
      <c r="P34" s="309"/>
      <c r="Q34" s="262"/>
      <c r="R34" s="244"/>
      <c r="U34" s="81"/>
    </row>
    <row r="35" spans="5:21" ht="15" customHeight="1" x14ac:dyDescent="0.25">
      <c r="E35" s="244"/>
      <c r="F35" s="260"/>
      <c r="G35" s="262"/>
      <c r="H35" s="309"/>
      <c r="I35" s="290"/>
      <c r="J35" s="154"/>
      <c r="K35" s="287"/>
      <c r="L35" s="77"/>
      <c r="M35" s="78"/>
      <c r="N35" s="79"/>
      <c r="O35" s="289"/>
      <c r="P35" s="309"/>
      <c r="Q35" s="262"/>
      <c r="R35" s="244"/>
      <c r="U35" s="81"/>
    </row>
    <row r="36" spans="5:21" ht="15" customHeight="1" x14ac:dyDescent="0.25">
      <c r="E36" s="244"/>
      <c r="F36" s="260"/>
      <c r="G36" s="262">
        <f>'Wyniki graficzne wiatr II'!G32</f>
        <v>8</v>
      </c>
      <c r="H36" s="309">
        <f>$P$8*I67/'Łączniki wiatr II'!I36/$P$9</f>
        <v>0.21963091607489527</v>
      </c>
      <c r="I36" s="290">
        <f>$P$8*I67/($P$9*$P$10)</f>
        <v>3.2977615026260549</v>
      </c>
      <c r="J36" s="80"/>
      <c r="K36" s="287"/>
      <c r="L36" s="77"/>
      <c r="M36" s="78"/>
      <c r="N36" s="79"/>
      <c r="O36" s="289">
        <f>$P$8*O67/($P$9*$P$10)</f>
        <v>3.5180201558626738</v>
      </c>
      <c r="P36" s="309">
        <f>$P$8*O67/'Łączniki wiatr II'!O36/$P$9</f>
        <v>0.23430014238045407</v>
      </c>
      <c r="Q36" s="262" t="str">
        <f>'Wyniki graficzne wiatr II'!Q32</f>
        <v/>
      </c>
      <c r="R36" s="244"/>
    </row>
    <row r="37" spans="5:21" ht="15" customHeight="1" x14ac:dyDescent="0.25">
      <c r="E37" s="244"/>
      <c r="F37" s="260"/>
      <c r="G37" s="262"/>
      <c r="H37" s="309"/>
      <c r="I37" s="290"/>
      <c r="J37" s="271"/>
      <c r="K37" s="287"/>
      <c r="L37" s="77"/>
      <c r="M37" s="78"/>
      <c r="N37" s="79"/>
      <c r="O37" s="289"/>
      <c r="P37" s="309"/>
      <c r="Q37" s="262"/>
      <c r="R37" s="244"/>
    </row>
    <row r="38" spans="5:21" ht="15" customHeight="1" x14ac:dyDescent="0.25">
      <c r="E38" s="244"/>
      <c r="F38" s="260"/>
      <c r="G38" s="262"/>
      <c r="H38" s="309"/>
      <c r="I38" s="290"/>
      <c r="J38" s="271"/>
      <c r="K38" s="287"/>
      <c r="L38" s="77"/>
      <c r="M38" s="78"/>
      <c r="N38" s="79"/>
      <c r="O38" s="289"/>
      <c r="P38" s="309"/>
      <c r="Q38" s="262"/>
      <c r="R38" s="244"/>
    </row>
    <row r="39" spans="5:21" ht="15" customHeight="1" x14ac:dyDescent="0.25">
      <c r="E39" s="244"/>
      <c r="F39" s="260"/>
      <c r="G39" s="262"/>
      <c r="H39" s="309"/>
      <c r="I39" s="290"/>
      <c r="J39" s="80"/>
      <c r="K39" s="287"/>
      <c r="L39" s="77"/>
      <c r="M39" s="78"/>
      <c r="N39" s="79"/>
      <c r="O39" s="289"/>
      <c r="P39" s="309"/>
      <c r="Q39" s="262"/>
      <c r="R39" s="244"/>
    </row>
    <row r="40" spans="5:21" ht="15" customHeight="1" x14ac:dyDescent="0.25">
      <c r="E40" s="244"/>
      <c r="F40" s="260"/>
      <c r="G40" s="262">
        <f>'Wyniki graficzne wiatr II'!G36</f>
        <v>2</v>
      </c>
      <c r="H40" s="309">
        <f>$P$8*I68/'Łączniki wiatr II'!I40/$P$9</f>
        <v>0.27953025682259391</v>
      </c>
      <c r="I40" s="290">
        <f>$P$8*I68/($P$9*$P$10)</f>
        <v>4.1971510033422508</v>
      </c>
      <c r="J40" s="80"/>
      <c r="K40" s="287"/>
      <c r="L40" s="77"/>
      <c r="M40" s="78"/>
      <c r="N40" s="79"/>
      <c r="O40" s="289">
        <f>$P$8*O68/($P$9*$P$10)</f>
        <v>4.1971510033422508</v>
      </c>
      <c r="P40" s="309">
        <f>$P$8*O68/'Łączniki wiatr II'!O40/$P$9</f>
        <v>0.27953025682259391</v>
      </c>
      <c r="Q40" s="262">
        <f>'Wyniki graficzne wiatr II'!Q36</f>
        <v>2</v>
      </c>
      <c r="R40" s="244"/>
    </row>
    <row r="41" spans="5:21" ht="15" customHeight="1" x14ac:dyDescent="0.25">
      <c r="E41" s="244"/>
      <c r="F41" s="260"/>
      <c r="G41" s="262"/>
      <c r="H41" s="309"/>
      <c r="I41" s="290"/>
      <c r="J41" s="271"/>
      <c r="K41" s="287"/>
      <c r="L41" s="77"/>
      <c r="M41" s="78"/>
      <c r="N41" s="79"/>
      <c r="O41" s="289"/>
      <c r="P41" s="309"/>
      <c r="Q41" s="262"/>
      <c r="R41" s="244"/>
    </row>
    <row r="42" spans="5:21" ht="15" customHeight="1" x14ac:dyDescent="0.25">
      <c r="E42" s="244"/>
      <c r="F42" s="260"/>
      <c r="G42" s="262"/>
      <c r="H42" s="309"/>
      <c r="I42" s="290"/>
      <c r="J42" s="271"/>
      <c r="K42" s="287"/>
      <c r="L42" s="77"/>
      <c r="M42" s="78"/>
      <c r="N42" s="79"/>
      <c r="O42" s="289"/>
      <c r="P42" s="309"/>
      <c r="Q42" s="262"/>
      <c r="R42" s="244"/>
    </row>
    <row r="43" spans="5:21" ht="15.75" customHeight="1" thickBot="1" x14ac:dyDescent="0.3">
      <c r="E43" s="244"/>
      <c r="F43" s="260"/>
      <c r="G43" s="262"/>
      <c r="H43" s="309"/>
      <c r="I43" s="290"/>
      <c r="J43" s="83"/>
      <c r="K43" s="288"/>
      <c r="L43" s="88" t="s">
        <v>100</v>
      </c>
      <c r="M43" s="84"/>
      <c r="N43" s="85"/>
      <c r="O43" s="289"/>
      <c r="P43" s="309"/>
      <c r="Q43" s="262"/>
      <c r="R43" s="244"/>
    </row>
    <row r="44" spans="5:21" ht="15.75" customHeight="1" thickTop="1" x14ac:dyDescent="0.25">
      <c r="H44" s="191"/>
      <c r="I44" s="292" t="s">
        <v>289</v>
      </c>
      <c r="J44" s="295">
        <f>$P$8*J69/($P$9*$P$10)</f>
        <v>8.5656142925352068</v>
      </c>
      <c r="K44" s="295">
        <f t="shared" ref="K44:N44" si="1">$P$8*K69/($P$9*$P$10)</f>
        <v>8.5656142925352068</v>
      </c>
      <c r="L44" s="295">
        <f t="shared" si="1"/>
        <v>6.730125515563377</v>
      </c>
      <c r="M44" s="295">
        <f t="shared" si="1"/>
        <v>6.730125515563377</v>
      </c>
      <c r="N44" s="295">
        <f t="shared" si="1"/>
        <v>6.730125515563377</v>
      </c>
      <c r="O44" s="187"/>
      <c r="P44" s="185"/>
    </row>
    <row r="45" spans="5:21" ht="15" customHeight="1" x14ac:dyDescent="0.25">
      <c r="I45" s="292"/>
      <c r="J45" s="299"/>
      <c r="K45" s="299"/>
      <c r="L45" s="299"/>
      <c r="M45" s="299"/>
      <c r="N45" s="299"/>
      <c r="O45" s="188"/>
    </row>
    <row r="46" spans="5:21" ht="15" customHeight="1" x14ac:dyDescent="0.25">
      <c r="I46" s="292"/>
      <c r="J46" s="299"/>
      <c r="K46" s="299"/>
      <c r="L46" s="299"/>
      <c r="M46" s="299"/>
      <c r="N46" s="299"/>
      <c r="O46" s="188"/>
    </row>
    <row r="47" spans="5:21" ht="15" customHeight="1" x14ac:dyDescent="0.25">
      <c r="I47" s="292" t="s">
        <v>281</v>
      </c>
      <c r="J47" s="309">
        <f>$P$8*J69/'Łączniki wiatr II'!J44/$P$9</f>
        <v>0.35654369492677795</v>
      </c>
      <c r="K47" s="309">
        <f>$P$8*K69/'Łączniki wiatr II'!K44/$P$9</f>
        <v>0.35654369492677795</v>
      </c>
      <c r="L47" s="309">
        <f>$P$8*L69/'Łączniki wiatr II'!L44/$P$9</f>
        <v>0.37352196611376742</v>
      </c>
      <c r="M47" s="309">
        <f>$P$8*M69/'Łączniki wiatr II'!M44/$P$9</f>
        <v>0.37352196611376742</v>
      </c>
      <c r="N47" s="309">
        <f>$P$8*N69/'Łączniki wiatr II'!N44/$P$9</f>
        <v>0.37352196611376742</v>
      </c>
      <c r="O47" s="188"/>
    </row>
    <row r="48" spans="5:21" ht="15" customHeight="1" x14ac:dyDescent="0.25">
      <c r="I48" s="292"/>
      <c r="J48" s="309"/>
      <c r="K48" s="309"/>
      <c r="L48" s="309"/>
      <c r="M48" s="309"/>
      <c r="N48" s="309"/>
      <c r="O48" s="188"/>
    </row>
    <row r="49" spans="9:15" x14ac:dyDescent="0.25">
      <c r="I49" s="297" t="s">
        <v>180</v>
      </c>
      <c r="J49" s="262">
        <f>'Wyniki graficzne wiatr II'!J45</f>
        <v>5.6</v>
      </c>
      <c r="K49" s="262" t="str">
        <f>'Wyniki graficzne wiatr II'!K45</f>
        <v/>
      </c>
      <c r="L49" s="262">
        <f>'Wyniki graficzne wiatr II'!L45</f>
        <v>4.4000000000000004</v>
      </c>
      <c r="M49" s="262" t="str">
        <f>'Wyniki graficzne wiatr II'!M45</f>
        <v/>
      </c>
      <c r="N49" s="262" t="str">
        <f>'Wyniki graficzne wiatr II'!N45</f>
        <v/>
      </c>
    </row>
    <row r="50" spans="9:15" x14ac:dyDescent="0.25">
      <c r="I50" s="297"/>
      <c r="J50" s="262"/>
      <c r="K50" s="262"/>
      <c r="L50" s="262"/>
      <c r="M50" s="262"/>
      <c r="N50" s="262"/>
    </row>
    <row r="51" spans="9:15" x14ac:dyDescent="0.25">
      <c r="I51" s="297"/>
      <c r="J51" s="262"/>
      <c r="K51" s="262"/>
      <c r="L51" s="262"/>
      <c r="M51" s="262"/>
      <c r="N51" s="262"/>
    </row>
    <row r="52" spans="9:15" x14ac:dyDescent="0.25">
      <c r="I52" s="297"/>
      <c r="J52" s="262"/>
      <c r="K52" s="262"/>
      <c r="L52" s="262"/>
      <c r="M52" s="262"/>
      <c r="N52" s="262"/>
    </row>
    <row r="53" spans="9:15" ht="15" customHeight="1" x14ac:dyDescent="0.25">
      <c r="I53" s="86"/>
      <c r="J53" s="262" t="str">
        <f>TEXT(N75+N76+N77,"####0,0##")&amp;" m"</f>
        <v>10,0 m</v>
      </c>
      <c r="K53" s="262"/>
      <c r="L53" s="262"/>
      <c r="M53" s="262"/>
      <c r="N53" s="262"/>
      <c r="O53" s="86"/>
    </row>
    <row r="54" spans="9:15" ht="15" customHeight="1" x14ac:dyDescent="0.25">
      <c r="I54" s="86"/>
      <c r="J54" s="262"/>
      <c r="K54" s="262"/>
      <c r="L54" s="262"/>
      <c r="M54" s="262"/>
      <c r="N54" s="262"/>
      <c r="O54" s="86"/>
    </row>
    <row r="55" spans="9:15" ht="15" customHeight="1" x14ac:dyDescent="0.25">
      <c r="I55" s="86"/>
      <c r="J55" s="262"/>
      <c r="K55" s="262"/>
      <c r="L55" s="262"/>
      <c r="M55" s="262"/>
      <c r="N55" s="262"/>
      <c r="O55" s="86"/>
    </row>
    <row r="56" spans="9:15" ht="15" customHeight="1" x14ac:dyDescent="0.25">
      <c r="I56" s="86"/>
      <c r="J56" s="282" t="str">
        <f>"Wysokość  ze = "&amp;TEXT('Obliczenia wiatr II'!E42,"####0,0##")&amp;" m"</f>
        <v>Wysokość  ze = 25,0 m</v>
      </c>
      <c r="K56" s="282"/>
      <c r="L56" s="282"/>
      <c r="M56" s="282"/>
      <c r="N56" s="282"/>
      <c r="O56" s="86"/>
    </row>
    <row r="57" spans="9:15" ht="15" customHeight="1" x14ac:dyDescent="0.25">
      <c r="I57" s="86"/>
      <c r="J57" s="282"/>
      <c r="K57" s="282"/>
      <c r="L57" s="282"/>
      <c r="M57" s="282"/>
      <c r="N57" s="282"/>
      <c r="O57" s="86"/>
    </row>
    <row r="58" spans="9:15" ht="15" customHeight="1" x14ac:dyDescent="0.25">
      <c r="I58" s="86"/>
      <c r="J58" s="282"/>
      <c r="K58" s="282"/>
      <c r="L58" s="282"/>
      <c r="M58" s="282"/>
      <c r="N58" s="282"/>
      <c r="O58" s="86"/>
    </row>
    <row r="61" spans="9:15" x14ac:dyDescent="0.25">
      <c r="J61" s="293" t="s">
        <v>280</v>
      </c>
      <c r="K61" s="293"/>
      <c r="L61" s="293"/>
      <c r="M61" s="293"/>
      <c r="N61" s="293"/>
    </row>
    <row r="63" spans="9:15" x14ac:dyDescent="0.25">
      <c r="J63" s="6">
        <f>'Wyniki graficzne wiatr II'!J15/'Obliczenia wiatr II'!C90</f>
        <v>1.4261747797071118</v>
      </c>
      <c r="K63" s="6">
        <f>'Wyniki graficzne wiatr II'!K15/'Obliczenia wiatr II'!C90</f>
        <v>1.4261747797071118</v>
      </c>
      <c r="L63" s="6">
        <f>'Wyniki graficzne wiatr II'!L15/'Obliczenia wiatr II'!C90</f>
        <v>1.1205658983413023</v>
      </c>
      <c r="M63" s="6">
        <f>'Wyniki graficzne wiatr II'!M15/'Obliczenia wiatr II'!C90</f>
        <v>1.1205658983413023</v>
      </c>
      <c r="N63" s="6">
        <f>'Wyniki graficzne wiatr II'!N15/'Obliczenia wiatr II'!C90</f>
        <v>1.1205658983413023</v>
      </c>
    </row>
    <row r="64" spans="9:15" x14ac:dyDescent="0.25">
      <c r="I64" s="6">
        <f>'Wyniki graficzne wiatr II'!H20/'Obliczenia wiatr II'!C90</f>
        <v>1.4261747797071118</v>
      </c>
      <c r="O64" s="6">
        <f>'Wyniki graficzne wiatr II'!O20/'Obliczenia wiatr II'!C90</f>
        <v>1.4261747797071118</v>
      </c>
    </row>
    <row r="65" spans="2:21" x14ac:dyDescent="0.25">
      <c r="I65" s="6">
        <f>'Wyniki graficzne wiatr II'!H24/'Obliczenia wiatr II'!C90</f>
        <v>1.1205658983413023</v>
      </c>
      <c r="O65" s="6">
        <f>'Wyniki graficzne wiatr II'!O24/'Obliczenia wiatr II'!C90</f>
        <v>1.1205658983413023</v>
      </c>
    </row>
    <row r="66" spans="2:21" x14ac:dyDescent="0.25">
      <c r="I66" s="6">
        <f>'Wyniki graficzne wiatr II'!H28/'Obliczenia wiatr II'!C90</f>
        <v>0.50934813560968284</v>
      </c>
      <c r="O66" s="6">
        <f>'Wyniki graficzne wiatr II'!O28/'Obliczenia wiatr II'!C90</f>
        <v>0.58575035595113523</v>
      </c>
    </row>
    <row r="67" spans="2:21" x14ac:dyDescent="0.25">
      <c r="I67" s="6">
        <f>'Wyniki graficzne wiatr II'!H32/'Obliczenia wiatr II'!C90</f>
        <v>0.54907729018723817</v>
      </c>
      <c r="O67" s="6">
        <f>'Wyniki graficzne wiatr II'!O32/'Obliczenia wiatr II'!C90</f>
        <v>0.58575035595113523</v>
      </c>
    </row>
    <row r="68" spans="2:21" x14ac:dyDescent="0.25">
      <c r="I68" s="6">
        <f>'Wyniki graficzne wiatr II'!H36/'Obliczenia wiatr II'!C90</f>
        <v>0.69882564205648479</v>
      </c>
      <c r="O68" s="6">
        <f>'Wyniki graficzne wiatr II'!O36/'Obliczenia wiatr II'!C90</f>
        <v>0.69882564205648479</v>
      </c>
    </row>
    <row r="69" spans="2:21" x14ac:dyDescent="0.25">
      <c r="J69" s="6">
        <f>'Wyniki graficzne wiatr II'!J40/'Obliczenia wiatr II'!C90</f>
        <v>1.4261747797071118</v>
      </c>
      <c r="K69" s="6">
        <f>'Wyniki graficzne wiatr II'!K40/'Obliczenia wiatr II'!C90</f>
        <v>1.4261747797071118</v>
      </c>
      <c r="L69" s="6">
        <f>'Wyniki graficzne wiatr II'!L40/'Obliczenia wiatr II'!C90</f>
        <v>1.1205658983413023</v>
      </c>
      <c r="M69" s="6">
        <f>'Wyniki graficzne wiatr II'!M40/'Obliczenia wiatr II'!C90</f>
        <v>1.1205658983413023</v>
      </c>
      <c r="N69" s="6">
        <f>'Wyniki graficzne wiatr II'!N40/'Obliczenia wiatr II'!C90</f>
        <v>1.1205658983413023</v>
      </c>
    </row>
    <row r="71" spans="2:21" x14ac:dyDescent="0.25">
      <c r="B71" s="151"/>
      <c r="H71" s="29"/>
      <c r="I71" s="29"/>
      <c r="J71" s="29"/>
      <c r="K71" s="29"/>
      <c r="L71" s="29"/>
      <c r="M71" s="29"/>
    </row>
    <row r="72" spans="2:21" x14ac:dyDescent="0.25">
      <c r="J72" s="294" t="s">
        <v>96</v>
      </c>
      <c r="K72" s="294"/>
      <c r="L72" s="294"/>
      <c r="M72" s="294"/>
      <c r="N72" s="294"/>
    </row>
    <row r="74" spans="2:21" x14ac:dyDescent="0.25">
      <c r="K74" s="13" t="s">
        <v>97</v>
      </c>
      <c r="L74" s="19" t="s">
        <v>98</v>
      </c>
      <c r="M74" s="13" t="s">
        <v>99</v>
      </c>
      <c r="N74" s="13" t="s">
        <v>100</v>
      </c>
    </row>
    <row r="75" spans="2:21" x14ac:dyDescent="0.25">
      <c r="J75" s="13" t="s">
        <v>101</v>
      </c>
      <c r="K75">
        <f>'Obliczenia wiatr II'!D35</f>
        <v>2</v>
      </c>
      <c r="L75">
        <f>'Obliczenia wiatr II'!E35</f>
        <v>5.6</v>
      </c>
      <c r="M75">
        <f>'Obliczenia wiatr II'!F35</f>
        <v>2</v>
      </c>
      <c r="N75">
        <f>'Obliczenia wiatr II'!G35</f>
        <v>5.6</v>
      </c>
      <c r="R75" s="16"/>
      <c r="S75" s="16"/>
      <c r="T75" s="16"/>
      <c r="U75" s="16"/>
    </row>
    <row r="76" spans="2:21" x14ac:dyDescent="0.25">
      <c r="J76" s="13" t="s">
        <v>102</v>
      </c>
      <c r="K76">
        <f>'Obliczenia wiatr II'!D36</f>
        <v>8</v>
      </c>
      <c r="L76">
        <f>'Obliczenia wiatr II'!E36</f>
        <v>4.4000000000000004</v>
      </c>
      <c r="M76">
        <f>'Obliczenia wiatr II'!F36</f>
        <v>8</v>
      </c>
      <c r="N76">
        <f>'Obliczenia wiatr II'!G36</f>
        <v>4.4000000000000004</v>
      </c>
      <c r="R76" s="16"/>
      <c r="S76" s="16"/>
      <c r="T76" s="16"/>
      <c r="U76" s="16"/>
    </row>
    <row r="77" spans="2:21" x14ac:dyDescent="0.25">
      <c r="J77" s="13" t="s">
        <v>103</v>
      </c>
      <c r="K77" s="18">
        <f>'Obliczenia wiatr II'!D37</f>
        <v>18</v>
      </c>
      <c r="L77" s="18">
        <f>'Obliczenia wiatr II'!E37</f>
        <v>0</v>
      </c>
      <c r="M77" s="18">
        <f>'Obliczenia wiatr II'!F37</f>
        <v>18</v>
      </c>
      <c r="N77" s="18">
        <f>'Obliczenia wiatr II'!G37</f>
        <v>0</v>
      </c>
    </row>
    <row r="78" spans="2:21" x14ac:dyDescent="0.25">
      <c r="J78" s="13"/>
    </row>
    <row r="79" spans="2:21" x14ac:dyDescent="0.25">
      <c r="J79" s="13" t="s">
        <v>104</v>
      </c>
      <c r="K79" s="18">
        <f>'Obliczenia wiatr II'!D29</f>
        <v>10</v>
      </c>
      <c r="L79" s="18">
        <f>'Obliczenia wiatr II'!E29</f>
        <v>28</v>
      </c>
      <c r="M79" s="18">
        <f>'Obliczenia wiatr II'!F29</f>
        <v>10</v>
      </c>
      <c r="N79" s="18">
        <f>'Obliczenia wiatr II'!G29</f>
        <v>28</v>
      </c>
    </row>
  </sheetData>
  <sheetProtection algorithmName="SHA-512" hashValue="1d6t6tkpGD0GZ6cnuMjPk0E6tT7ZaYz+NZLSS7AAxgfiYDQW2jqw5DSQCn8FiU8FByNyhypZPZen2V/JEq8fSg==" saltValue="4+OE1hzaYynZejEEsXvnUQ==" spinCount="100000" sheet="1" objects="1" scenarios="1"/>
  <mergeCells count="90">
    <mergeCell ref="B2:V3"/>
    <mergeCell ref="B4:V4"/>
    <mergeCell ref="B6:V6"/>
    <mergeCell ref="J12:N14"/>
    <mergeCell ref="I15:I18"/>
    <mergeCell ref="J15:J18"/>
    <mergeCell ref="K15:K18"/>
    <mergeCell ref="L15:L18"/>
    <mergeCell ref="M15:M18"/>
    <mergeCell ref="N15:N18"/>
    <mergeCell ref="H8:O8"/>
    <mergeCell ref="H9:O9"/>
    <mergeCell ref="H10:O10"/>
    <mergeCell ref="O19:O20"/>
    <mergeCell ref="I21:I23"/>
    <mergeCell ref="O21:O23"/>
    <mergeCell ref="I19:I20"/>
    <mergeCell ref="E24:E43"/>
    <mergeCell ref="F24:F43"/>
    <mergeCell ref="G24:G27"/>
    <mergeCell ref="H24:H27"/>
    <mergeCell ref="I24:I27"/>
    <mergeCell ref="G36:G39"/>
    <mergeCell ref="H36:H39"/>
    <mergeCell ref="I36:I39"/>
    <mergeCell ref="G32:G35"/>
    <mergeCell ref="H32:H35"/>
    <mergeCell ref="I32:I35"/>
    <mergeCell ref="G28:G31"/>
    <mergeCell ref="Q36:Q39"/>
    <mergeCell ref="J37:J38"/>
    <mergeCell ref="P24:P27"/>
    <mergeCell ref="Q24:Q27"/>
    <mergeCell ref="R24:R43"/>
    <mergeCell ref="J25:J26"/>
    <mergeCell ref="O28:O31"/>
    <mergeCell ref="P28:P31"/>
    <mergeCell ref="O24:O27"/>
    <mergeCell ref="N33:N34"/>
    <mergeCell ref="Q28:Q31"/>
    <mergeCell ref="J29:J30"/>
    <mergeCell ref="O32:O35"/>
    <mergeCell ref="P32:P35"/>
    <mergeCell ref="Q32:Q35"/>
    <mergeCell ref="Q40:Q43"/>
    <mergeCell ref="G40:G43"/>
    <mergeCell ref="H40:H43"/>
    <mergeCell ref="O40:O43"/>
    <mergeCell ref="P40:P43"/>
    <mergeCell ref="H28:H31"/>
    <mergeCell ref="I28:I31"/>
    <mergeCell ref="O36:O39"/>
    <mergeCell ref="P36:P39"/>
    <mergeCell ref="J33:J34"/>
    <mergeCell ref="L33:L34"/>
    <mergeCell ref="I40:I43"/>
    <mergeCell ref="K24:K43"/>
    <mergeCell ref="I44:I46"/>
    <mergeCell ref="J44:J46"/>
    <mergeCell ref="K44:K46"/>
    <mergeCell ref="L44:L46"/>
    <mergeCell ref="M44:M46"/>
    <mergeCell ref="J53:N55"/>
    <mergeCell ref="J41:J42"/>
    <mergeCell ref="J19:J20"/>
    <mergeCell ref="K19:K20"/>
    <mergeCell ref="L19:L20"/>
    <mergeCell ref="M19:M20"/>
    <mergeCell ref="N19:N20"/>
    <mergeCell ref="J21:J23"/>
    <mergeCell ref="K21:K23"/>
    <mergeCell ref="L21:L23"/>
    <mergeCell ref="M21:M23"/>
    <mergeCell ref="N21:N23"/>
    <mergeCell ref="I49:I52"/>
    <mergeCell ref="J56:N58"/>
    <mergeCell ref="J61:N61"/>
    <mergeCell ref="J72:N72"/>
    <mergeCell ref="N44:N46"/>
    <mergeCell ref="I47:I48"/>
    <mergeCell ref="J47:J48"/>
    <mergeCell ref="K47:K48"/>
    <mergeCell ref="L47:L48"/>
    <mergeCell ref="M47:M48"/>
    <mergeCell ref="N47:N48"/>
    <mergeCell ref="N49:N52"/>
    <mergeCell ref="J49:J52"/>
    <mergeCell ref="K49:K52"/>
    <mergeCell ref="L49:L52"/>
    <mergeCell ref="M49:M52"/>
  </mergeCells>
  <conditionalFormatting sqref="J21:N21 I24 I28 I32 I36 I40 O24:O43 J44:N46">
    <cfRule type="colorScale" priority="2">
      <colorScale>
        <cfvo type="min"/>
        <cfvo type="max"/>
        <color rgb="FFFFFF00"/>
        <color rgb="FFFF0000"/>
      </colorScale>
    </cfRule>
  </conditionalFormatting>
  <conditionalFormatting sqref="J19:N19 H24 H28 H32 H36 H40 P24:P43 J47:N48">
    <cfRule type="colorScale" priority="1">
      <colorScale>
        <cfvo type="min"/>
        <cfvo type="max"/>
        <color rgb="FF66FFFF"/>
        <color rgb="FF00B0F0"/>
      </colorScale>
    </cfRule>
  </conditionalFormatting>
  <pageMargins left="0.7" right="0.7" top="0.75" bottom="0.75" header="0.3" footer="0.3"/>
  <pageSetup paperSize="9" orientation="portrait" horizontalDpi="1200" verticalDpi="120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V104"/>
  <sheetViews>
    <sheetView zoomScaleNormal="100" workbookViewId="0">
      <selection activeCell="B2" sqref="B2:V3"/>
    </sheetView>
  </sheetViews>
  <sheetFormatPr defaultRowHeight="15" x14ac:dyDescent="0.25"/>
  <sheetData>
    <row r="2" spans="2:22" x14ac:dyDescent="0.25">
      <c r="B2" s="226" t="s">
        <v>304</v>
      </c>
      <c r="C2" s="226"/>
      <c r="D2" s="226"/>
      <c r="E2" s="226"/>
      <c r="F2" s="226"/>
      <c r="G2" s="226"/>
      <c r="H2" s="226"/>
      <c r="I2" s="226"/>
      <c r="J2" s="226"/>
      <c r="K2" s="226"/>
      <c r="L2" s="226"/>
      <c r="M2" s="226"/>
      <c r="N2" s="226"/>
      <c r="O2" s="226"/>
      <c r="P2" s="226"/>
      <c r="Q2" s="226"/>
      <c r="R2" s="226"/>
      <c r="S2" s="226"/>
      <c r="T2" s="226"/>
      <c r="U2" s="226"/>
      <c r="V2" s="226"/>
    </row>
    <row r="3" spans="2:22" x14ac:dyDescent="0.25">
      <c r="B3" s="226"/>
      <c r="C3" s="226"/>
      <c r="D3" s="226"/>
      <c r="E3" s="226"/>
      <c r="F3" s="226"/>
      <c r="G3" s="226"/>
      <c r="H3" s="226"/>
      <c r="I3" s="226"/>
      <c r="J3" s="226"/>
      <c r="K3" s="226"/>
      <c r="L3" s="226"/>
      <c r="M3" s="226"/>
      <c r="N3" s="226"/>
      <c r="O3" s="226"/>
      <c r="P3" s="226"/>
      <c r="Q3" s="226"/>
      <c r="R3" s="226"/>
      <c r="S3" s="226"/>
      <c r="T3" s="226"/>
      <c r="U3" s="226"/>
      <c r="V3" s="226"/>
    </row>
    <row r="4" spans="2:22" x14ac:dyDescent="0.25">
      <c r="B4" s="307" t="s">
        <v>284</v>
      </c>
      <c r="C4" s="307"/>
      <c r="D4" s="307"/>
      <c r="E4" s="307"/>
      <c r="F4" s="307"/>
      <c r="G4" s="307"/>
      <c r="H4" s="307"/>
      <c r="I4" s="307"/>
      <c r="J4" s="307"/>
      <c r="K4" s="307"/>
      <c r="L4" s="307"/>
      <c r="M4" s="307"/>
      <c r="N4" s="307"/>
      <c r="O4" s="307"/>
      <c r="P4" s="307"/>
      <c r="Q4" s="307"/>
      <c r="R4" s="307"/>
      <c r="S4" s="307"/>
      <c r="T4" s="307"/>
      <c r="U4" s="307"/>
      <c r="V4" s="307"/>
    </row>
    <row r="6" spans="2:22" x14ac:dyDescent="0.25">
      <c r="B6" s="247" t="s">
        <v>95</v>
      </c>
      <c r="C6" s="248"/>
      <c r="D6" s="248"/>
      <c r="E6" s="248"/>
      <c r="F6" s="248"/>
      <c r="G6" s="248"/>
      <c r="H6" s="248"/>
      <c r="I6" s="248"/>
      <c r="J6" s="248"/>
      <c r="K6" s="248"/>
      <c r="L6" s="248"/>
      <c r="M6" s="248"/>
      <c r="N6" s="248"/>
      <c r="O6" s="248"/>
      <c r="P6" s="248"/>
      <c r="Q6" s="248"/>
      <c r="R6" s="248"/>
      <c r="S6" s="248"/>
      <c r="T6" s="248"/>
      <c r="U6" s="248"/>
      <c r="V6" s="248"/>
    </row>
    <row r="7" spans="2:22" x14ac:dyDescent="0.25">
      <c r="B7" s="167"/>
      <c r="C7" s="168"/>
      <c r="D7" s="168"/>
      <c r="E7" s="168"/>
      <c r="F7" s="168"/>
      <c r="G7" s="168"/>
      <c r="H7" s="168"/>
      <c r="I7" s="168"/>
      <c r="J7" s="168"/>
      <c r="K7" s="168"/>
      <c r="L7" s="168"/>
      <c r="M7" s="168"/>
      <c r="N7" s="168"/>
      <c r="O7" s="168"/>
      <c r="P7" s="168"/>
      <c r="Q7" s="168"/>
      <c r="R7" s="168"/>
      <c r="S7" s="168"/>
      <c r="T7" s="168"/>
      <c r="U7" s="168"/>
      <c r="V7" s="168"/>
    </row>
    <row r="8" spans="2:22" x14ac:dyDescent="0.25">
      <c r="I8" s="306" t="s">
        <v>291</v>
      </c>
      <c r="J8" s="306"/>
      <c r="K8" s="306"/>
      <c r="L8" s="306"/>
      <c r="M8" s="306"/>
      <c r="N8" s="306"/>
      <c r="O8" s="170" t="str">
        <f>'Łączniki wiatr I'!O8</f>
        <v>T</v>
      </c>
    </row>
    <row r="9" spans="2:22" x14ac:dyDescent="0.25">
      <c r="I9" s="306" t="s">
        <v>290</v>
      </c>
      <c r="J9" s="306"/>
      <c r="K9" s="306"/>
      <c r="L9" s="306"/>
      <c r="M9" s="306"/>
      <c r="N9" s="306"/>
      <c r="O9" s="172">
        <f>'Łączniki wiatr I'!O9</f>
        <v>5</v>
      </c>
    </row>
    <row r="10" spans="2:22" x14ac:dyDescent="0.25">
      <c r="I10" s="306" t="s">
        <v>292</v>
      </c>
      <c r="J10" s="306"/>
      <c r="K10" s="306"/>
      <c r="L10" s="306"/>
      <c r="M10" s="306"/>
      <c r="N10" s="306"/>
      <c r="O10" s="171">
        <f>'Przemieszczenia wiatr I'!P10</f>
        <v>0.33300000000000002</v>
      </c>
    </row>
    <row r="11" spans="2:22" x14ac:dyDescent="0.25">
      <c r="B11" s="167"/>
      <c r="C11" s="168"/>
      <c r="D11" s="168"/>
      <c r="E11" s="168"/>
      <c r="F11" s="168"/>
      <c r="G11" s="168"/>
      <c r="H11" s="168"/>
      <c r="I11" s="168"/>
      <c r="J11" s="168"/>
      <c r="K11" s="168"/>
      <c r="L11" s="168"/>
      <c r="M11" s="168"/>
      <c r="N11" s="168"/>
      <c r="O11" s="168"/>
      <c r="P11" s="168"/>
      <c r="Q11" s="168"/>
      <c r="R11" s="168"/>
      <c r="S11" s="168"/>
      <c r="T11" s="168"/>
      <c r="U11" s="168"/>
      <c r="V11" s="168"/>
    </row>
    <row r="12" spans="2:22" x14ac:dyDescent="0.25">
      <c r="B12" s="167"/>
      <c r="C12" s="168"/>
      <c r="D12" s="168"/>
      <c r="E12" s="168"/>
      <c r="F12" s="168"/>
      <c r="G12" s="168"/>
      <c r="H12" s="168"/>
      <c r="I12" s="168"/>
      <c r="J12" s="245" t="str">
        <f>"Wysokość  ze = "&amp;TEXT('Obliczenia wiatr I'!D46,"####0,0##")&amp;" m"</f>
        <v>Wysokość  ze = 25,0 m</v>
      </c>
      <c r="K12" s="245"/>
      <c r="L12" s="245"/>
      <c r="M12" s="245"/>
      <c r="N12" s="245"/>
      <c r="O12" s="168"/>
      <c r="P12" s="168"/>
      <c r="Q12" s="168"/>
      <c r="R12" s="168"/>
      <c r="S12" s="168"/>
      <c r="T12" s="168"/>
      <c r="U12" s="168"/>
      <c r="V12" s="168"/>
    </row>
    <row r="13" spans="2:22" x14ac:dyDescent="0.25">
      <c r="B13" s="167"/>
      <c r="C13" s="168"/>
      <c r="D13" s="168"/>
      <c r="E13" s="168"/>
      <c r="F13" s="168"/>
      <c r="G13" s="168"/>
      <c r="H13" s="168"/>
      <c r="I13" s="168"/>
      <c r="J13" s="245"/>
      <c r="K13" s="245"/>
      <c r="L13" s="245"/>
      <c r="M13" s="245"/>
      <c r="N13" s="245"/>
      <c r="O13" s="168"/>
      <c r="P13" s="168"/>
      <c r="Q13" s="168"/>
      <c r="R13" s="168"/>
      <c r="S13" s="168"/>
      <c r="T13" s="168"/>
      <c r="U13" s="168"/>
      <c r="V13" s="168"/>
    </row>
    <row r="14" spans="2:22" x14ac:dyDescent="0.25">
      <c r="J14" s="245"/>
      <c r="K14" s="245"/>
      <c r="L14" s="245"/>
      <c r="M14" s="245"/>
      <c r="N14" s="245"/>
    </row>
    <row r="15" spans="2:22" x14ac:dyDescent="0.25">
      <c r="I15" s="270" t="s">
        <v>180</v>
      </c>
      <c r="J15" s="308" t="str">
        <f>'Wyniki graficzne wiatr I'!J11</f>
        <v/>
      </c>
      <c r="K15" s="262" t="str">
        <f>'Wyniki graficzne wiatr I'!K11</f>
        <v/>
      </c>
      <c r="L15" s="262" t="str">
        <f>'Wyniki graficzne wiatr I'!L11</f>
        <v/>
      </c>
      <c r="M15" s="262" t="str">
        <f>'Wyniki graficzne wiatr I'!M11</f>
        <v/>
      </c>
      <c r="N15" s="262">
        <f>'Wyniki graficzne wiatr I'!N11</f>
        <v>10</v>
      </c>
      <c r="O15" s="1"/>
    </row>
    <row r="16" spans="2:22" x14ac:dyDescent="0.25">
      <c r="I16" s="270"/>
      <c r="J16" s="308"/>
      <c r="K16" s="262"/>
      <c r="L16" s="262"/>
      <c r="M16" s="262"/>
      <c r="N16" s="262"/>
      <c r="O16" s="1"/>
    </row>
    <row r="17" spans="5:21" x14ac:dyDescent="0.25">
      <c r="I17" s="270"/>
      <c r="J17" s="308"/>
      <c r="K17" s="262"/>
      <c r="L17" s="262"/>
      <c r="M17" s="262"/>
      <c r="N17" s="262"/>
      <c r="O17" s="1"/>
    </row>
    <row r="18" spans="5:21" x14ac:dyDescent="0.25">
      <c r="I18" s="270"/>
      <c r="J18" s="308"/>
      <c r="K18" s="262"/>
      <c r="L18" s="262"/>
      <c r="M18" s="262"/>
      <c r="N18" s="262"/>
      <c r="O18" s="1"/>
    </row>
    <row r="19" spans="5:21" ht="15" customHeight="1" x14ac:dyDescent="0.25">
      <c r="I19" s="292" t="s">
        <v>264</v>
      </c>
      <c r="J19" s="291">
        <f t="array" ref="J19">IF(O8="T",INDEX(F84:F100,MATCH(TRUE,G84:G100&gt;=J21,0)),IF(O8="W",INDEX(M84:M100,MATCH(TRUE,N84:N100&gt;=J21,0)),IF(O8="H",INDEX(T84:T103,MATCH(TRUE,U84:U103&gt;=J21,0)),0)))</f>
        <v>6</v>
      </c>
      <c r="K19" s="291">
        <f t="array" ref="K19">IF(O8="T",INDEX(F84:F100,MATCH(TRUE,G84:G100&gt;=K21,0)),IF(O8="W",INDEX(M84:M100,MATCH(TRUE,N84:N100&gt;=K21,0)),IF(O8="H",INDEX(T84:T103,MATCH(TRUE,U84:U103&gt;=K21,0)),0)))</f>
        <v>6</v>
      </c>
      <c r="L19" s="291">
        <f t="array" ref="L19">IF(O8="T",INDEX(F84:F100,MATCH(TRUE,G84:G100&gt;=L21,0)),IF(O8="W",INDEX(M84:M100,MATCH(TRUE,N84:N100&gt;=L21,0)),IF(O8="H",INDEX(T84:T103,MATCH(TRUE,U84:U103&gt;=L21,0)),0)))</f>
        <v>6</v>
      </c>
      <c r="M19" s="291">
        <f t="array" ref="M19">IF(O8="T",INDEX(F84:F100,MATCH(TRUE,G84:G100&gt;=M21,0)),IF(O8="W",INDEX(M84:M100,MATCH(TRUE,N84:N100&gt;=M21,0)),IF(O8="H",INDEX(T84:T103,MATCH(TRUE,U84:U103&gt;=M21,0)),0)))</f>
        <v>6</v>
      </c>
      <c r="N19" s="291">
        <f t="array" ref="N19">IF(O8="T",INDEX(F84:F100,MATCH(TRUE,G84:G100&gt;=N21,0)),IF(O8="W",INDEX(M84:M100,MATCH(TRUE,N84:N100&gt;=N21,0)),IF(O8="H",INDEX(T84:T103,MATCH(TRUE,U84:U103&gt;=N21,0)),0)))</f>
        <v>6</v>
      </c>
      <c r="O19" s="270" t="s">
        <v>264</v>
      </c>
    </row>
    <row r="20" spans="5:21" ht="15" customHeight="1" x14ac:dyDescent="0.25">
      <c r="I20" s="292"/>
      <c r="J20" s="291"/>
      <c r="K20" s="291"/>
      <c r="L20" s="291"/>
      <c r="M20" s="291"/>
      <c r="N20" s="291"/>
      <c r="O20" s="270"/>
    </row>
    <row r="21" spans="5:21" ht="15" customHeight="1" x14ac:dyDescent="0.25">
      <c r="I21" s="292" t="s">
        <v>289</v>
      </c>
      <c r="J21" s="299">
        <f>MAX('Łączniki wiatr I'!J21,'Przemieszczenia wiatr I'!J21)</f>
        <v>8.5656142925352068</v>
      </c>
      <c r="K21" s="299">
        <f>MAX('Łączniki wiatr I'!K21,'Przemieszczenia wiatr I'!K21)</f>
        <v>8.5656142925352068</v>
      </c>
      <c r="L21" s="299">
        <f>MAX('Łączniki wiatr I'!L21,'Przemieszczenia wiatr I'!L21)</f>
        <v>8.5656142925352068</v>
      </c>
      <c r="M21" s="299">
        <f>MAX('Łączniki wiatr I'!M21,'Przemieszczenia wiatr I'!M21)</f>
        <v>8.5656142925352068</v>
      </c>
      <c r="N21" s="299">
        <f>MAX('Łączniki wiatr I'!N21,'Przemieszczenia wiatr I'!N21)</f>
        <v>8.5656142925352068</v>
      </c>
      <c r="O21" s="292" t="s">
        <v>289</v>
      </c>
    </row>
    <row r="22" spans="5:21" ht="15" customHeight="1" x14ac:dyDescent="0.25">
      <c r="I22" s="292"/>
      <c r="J22" s="299"/>
      <c r="K22" s="299"/>
      <c r="L22" s="299"/>
      <c r="M22" s="299"/>
      <c r="N22" s="299"/>
      <c r="O22" s="292"/>
    </row>
    <row r="23" spans="5:21" ht="15.75" customHeight="1" thickBot="1" x14ac:dyDescent="0.3">
      <c r="F23" s="168"/>
      <c r="G23" s="190" t="s">
        <v>180</v>
      </c>
      <c r="H23" s="181" t="s">
        <v>264</v>
      </c>
      <c r="I23" s="292"/>
      <c r="J23" s="300"/>
      <c r="K23" s="300"/>
      <c r="L23" s="300"/>
      <c r="M23" s="300"/>
      <c r="N23" s="300"/>
      <c r="O23" s="292"/>
      <c r="P23" s="180" t="s">
        <v>264</v>
      </c>
      <c r="Q23" s="192" t="s">
        <v>180</v>
      </c>
    </row>
    <row r="24" spans="5:21" ht="15.75" customHeight="1" thickTop="1" x14ac:dyDescent="0.25">
      <c r="E24" s="244" t="str">
        <f>"Wysokość  ze = "&amp;TEXT('Obliczenia wiatr I'!C46,"####0,0##")&amp;" m"</f>
        <v>Wysokość  ze = 25,0 m</v>
      </c>
      <c r="F24" s="260" t="str">
        <f>TEXT(K75+K76+K77,"####0,0##")&amp;" m"</f>
        <v>28,0 m</v>
      </c>
      <c r="G24" s="262">
        <f>'Wyniki graficzne wiatr I'!G20</f>
        <v>2</v>
      </c>
      <c r="H24" s="291">
        <f t="array" ref="H24">IF(O8="T",INDEX(F84:F100,MATCH(TRUE,G84:G100&gt;=I24,0)),IF(O8="W",INDEX(M84:M100,MATCH(TRUE,N84:N100&gt;=I24,0)),IF(O8="H",INDEX(T84:T103,MATCH(TRUE,U84:U103&gt;=I24,0)),0)))</f>
        <v>6</v>
      </c>
      <c r="I24" s="290">
        <f>MAX('Łączniki wiatr I'!I24,'Przemieszczenia wiatr I'!I24)</f>
        <v>8.5656142925352068</v>
      </c>
      <c r="J24" s="74"/>
      <c r="K24" s="75"/>
      <c r="L24" s="87" t="s">
        <v>98</v>
      </c>
      <c r="M24" s="75"/>
      <c r="N24" s="76"/>
      <c r="O24" s="289">
        <f>MAX('Łączniki wiatr I'!O24,'Przemieszczenia wiatr I'!O24)</f>
        <v>8.5656142925352068</v>
      </c>
      <c r="P24" s="291">
        <f t="array" ref="P24">IF(O8="T",INDEX(F84:F100,MATCH(TRUE,G84:G100&gt;=O24,0)),IF(O8="W",INDEX(M84:M100,MATCH(TRUE,N84:N100&gt;=O24,0)),IF(O8="H",INDEX(T84:T103,MATCH(TRUE,U84:U103&gt;=O24,0)),0)))</f>
        <v>6</v>
      </c>
      <c r="Q24" s="262">
        <f>'Wyniki graficzne wiatr I'!Q20</f>
        <v>2</v>
      </c>
      <c r="R24" s="244" t="str">
        <f>"Wysokość  ze = "&amp;TEXT('Obliczenia wiatr I'!C46,"####0,0##")&amp;" m"</f>
        <v>Wysokość  ze = 25,0 m</v>
      </c>
    </row>
    <row r="25" spans="5:21" ht="15" customHeight="1" x14ac:dyDescent="0.25">
      <c r="E25" s="244"/>
      <c r="F25" s="260"/>
      <c r="G25" s="262"/>
      <c r="H25" s="291"/>
      <c r="I25" s="290"/>
      <c r="J25" s="271"/>
      <c r="K25" s="287"/>
      <c r="L25" s="77"/>
      <c r="M25" s="78"/>
      <c r="N25" s="79"/>
      <c r="O25" s="289"/>
      <c r="P25" s="291"/>
      <c r="Q25" s="262"/>
      <c r="R25" s="244"/>
    </row>
    <row r="26" spans="5:21" ht="15" customHeight="1" x14ac:dyDescent="0.25">
      <c r="E26" s="244"/>
      <c r="F26" s="260"/>
      <c r="G26" s="262"/>
      <c r="H26" s="291"/>
      <c r="I26" s="290"/>
      <c r="J26" s="271"/>
      <c r="K26" s="287"/>
      <c r="L26" s="77"/>
      <c r="M26" s="78"/>
      <c r="N26" s="79"/>
      <c r="O26" s="289"/>
      <c r="P26" s="291"/>
      <c r="Q26" s="262"/>
      <c r="R26" s="244"/>
    </row>
    <row r="27" spans="5:21" ht="15" customHeight="1" x14ac:dyDescent="0.25">
      <c r="E27" s="244"/>
      <c r="F27" s="260"/>
      <c r="G27" s="262"/>
      <c r="H27" s="291"/>
      <c r="I27" s="290"/>
      <c r="J27" s="80"/>
      <c r="K27" s="287"/>
      <c r="L27" s="77"/>
      <c r="M27" s="78"/>
      <c r="N27" s="79"/>
      <c r="O27" s="289"/>
      <c r="P27" s="291"/>
      <c r="Q27" s="262"/>
      <c r="R27" s="244"/>
    </row>
    <row r="28" spans="5:21" ht="15" customHeight="1" x14ac:dyDescent="0.25">
      <c r="E28" s="244"/>
      <c r="F28" s="260"/>
      <c r="G28" s="262">
        <f>'Wyniki graficzne wiatr I'!G24</f>
        <v>8</v>
      </c>
      <c r="H28" s="291">
        <f t="array" ref="H28">IF(O8="T",INDEX(F84:F100,MATCH(TRUE,G84:G100&gt;=I28,0)),IF(O8="W",INDEX(M84:M100,MATCH(TRUE,N84:N100&gt;=I28,0)),IF(O8="H",INDEX(T84:T103,MATCH(TRUE,U84:U103&gt;=I28,0)),0)))</f>
        <v>4</v>
      </c>
      <c r="I28" s="290">
        <f>MAX('Łączniki wiatr I'!I28,'Przemieszczenia wiatr I'!I28)</f>
        <v>6.730125515563377</v>
      </c>
      <c r="J28" s="80"/>
      <c r="K28" s="287"/>
      <c r="L28" s="77"/>
      <c r="M28" s="78"/>
      <c r="N28" s="79"/>
      <c r="O28" s="289">
        <f>MAX('Łączniki wiatr I'!O28,'Przemieszczenia wiatr I'!O28)</f>
        <v>6.730125515563377</v>
      </c>
      <c r="P28" s="291">
        <f t="array" ref="P28">IF(O8="T",INDEX(F84:F100,MATCH(TRUE,G84:G100&gt;=O28,0)),IF(O8="W",INDEX(M84:M100,MATCH(TRUE,N84:N100&gt;=O28,0)),IF(O8="H",INDEX(T84:T103,MATCH(TRUE,U84:U103&gt;=O28,0)),0)))</f>
        <v>4</v>
      </c>
      <c r="Q28" s="262">
        <f>'Wyniki graficzne wiatr I'!Q24</f>
        <v>8</v>
      </c>
      <c r="R28" s="244"/>
    </row>
    <row r="29" spans="5:21" ht="15" customHeight="1" x14ac:dyDescent="0.25">
      <c r="E29" s="244"/>
      <c r="F29" s="260"/>
      <c r="G29" s="262"/>
      <c r="H29" s="291"/>
      <c r="I29" s="290"/>
      <c r="J29" s="271"/>
      <c r="K29" s="287"/>
      <c r="L29" s="77"/>
      <c r="M29" s="78"/>
      <c r="N29" s="79"/>
      <c r="O29" s="289"/>
      <c r="P29" s="291"/>
      <c r="Q29" s="262"/>
      <c r="R29" s="244"/>
      <c r="U29" s="81"/>
    </row>
    <row r="30" spans="5:21" ht="15" customHeight="1" x14ac:dyDescent="0.25">
      <c r="E30" s="244"/>
      <c r="F30" s="260"/>
      <c r="G30" s="262"/>
      <c r="H30" s="291"/>
      <c r="I30" s="290"/>
      <c r="J30" s="271"/>
      <c r="K30" s="287"/>
      <c r="L30" s="77"/>
      <c r="M30" s="78"/>
      <c r="N30" s="79"/>
      <c r="O30" s="289"/>
      <c r="P30" s="291"/>
      <c r="Q30" s="262"/>
      <c r="R30" s="244"/>
      <c r="U30" s="81"/>
    </row>
    <row r="31" spans="5:21" ht="15" customHeight="1" x14ac:dyDescent="0.25">
      <c r="E31" s="244"/>
      <c r="F31" s="260"/>
      <c r="G31" s="262"/>
      <c r="H31" s="291"/>
      <c r="I31" s="290"/>
      <c r="J31" s="80"/>
      <c r="K31" s="287"/>
      <c r="L31" s="77"/>
      <c r="M31" s="78"/>
      <c r="N31" s="79"/>
      <c r="O31" s="289"/>
      <c r="P31" s="291"/>
      <c r="Q31" s="262"/>
      <c r="R31" s="244"/>
      <c r="U31" s="81"/>
    </row>
    <row r="32" spans="5:21" ht="15" customHeight="1" x14ac:dyDescent="0.25">
      <c r="E32" s="244"/>
      <c r="F32" s="260"/>
      <c r="G32" s="262">
        <f>'Wyniki graficzne wiatr I'!G28</f>
        <v>8</v>
      </c>
      <c r="H32" s="291">
        <f t="array" ref="H32">IF(O8="T",INDEX(F84:F100,MATCH(TRUE,G84:G100&gt;=I32,0)),IF(O8="W",INDEX(M84:M100,MATCH(TRUE,N84:N100&gt;=I32,0)),IF(O8="H",INDEX(T84:T103,MATCH(TRUE,U84:U103&gt;=I32,0)),0)))</f>
        <v>2</v>
      </c>
      <c r="I32" s="290">
        <f>MAX('Łączniki wiatr I'!I32,'Przemieszczenia wiatr I'!I32)</f>
        <v>5</v>
      </c>
      <c r="J32" s="80"/>
      <c r="K32" s="287"/>
      <c r="L32" s="77"/>
      <c r="M32" s="78"/>
      <c r="N32" s="79"/>
      <c r="O32" s="289">
        <f>MAX('Łączniki wiatr I'!O32,'Przemieszczenia wiatr I'!O32)</f>
        <v>5</v>
      </c>
      <c r="P32" s="291">
        <f t="array" ref="P32">IF(O8="T",INDEX(F84:F100,MATCH(TRUE,G84:G100&gt;=O32,0)),IF(O8="W",INDEX(M84:M100,MATCH(TRUE,N84:N100&gt;=O32,0)),IF(O8="H",INDEX(T84:T103,MATCH(TRUE,U84:U103&gt;=O32,0)),0)))</f>
        <v>2</v>
      </c>
      <c r="Q32" s="262">
        <f>'Wyniki graficzne wiatr I'!Q28</f>
        <v>8</v>
      </c>
      <c r="R32" s="244"/>
      <c r="U32" s="81"/>
    </row>
    <row r="33" spans="5:21" ht="15" customHeight="1" x14ac:dyDescent="0.25">
      <c r="E33" s="244"/>
      <c r="F33" s="260"/>
      <c r="G33" s="262"/>
      <c r="H33" s="291"/>
      <c r="I33" s="290"/>
      <c r="J33" s="265" t="s">
        <v>97</v>
      </c>
      <c r="K33" s="287"/>
      <c r="L33" s="284"/>
      <c r="M33" s="78"/>
      <c r="N33" s="266" t="s">
        <v>99</v>
      </c>
      <c r="O33" s="289"/>
      <c r="P33" s="291"/>
      <c r="Q33" s="262"/>
      <c r="R33" s="244"/>
      <c r="U33" s="81"/>
    </row>
    <row r="34" spans="5:21" ht="15" customHeight="1" x14ac:dyDescent="0.25">
      <c r="E34" s="244"/>
      <c r="F34" s="260"/>
      <c r="G34" s="262"/>
      <c r="H34" s="291"/>
      <c r="I34" s="290"/>
      <c r="J34" s="265"/>
      <c r="K34" s="287"/>
      <c r="L34" s="285"/>
      <c r="M34" s="78"/>
      <c r="N34" s="266"/>
      <c r="O34" s="289"/>
      <c r="P34" s="291"/>
      <c r="Q34" s="262"/>
      <c r="R34" s="244"/>
      <c r="U34" s="81"/>
    </row>
    <row r="35" spans="5:21" ht="15" customHeight="1" x14ac:dyDescent="0.25">
      <c r="E35" s="244"/>
      <c r="F35" s="260"/>
      <c r="G35" s="262"/>
      <c r="H35" s="291"/>
      <c r="I35" s="290"/>
      <c r="J35" s="169"/>
      <c r="K35" s="287"/>
      <c r="L35" s="77"/>
      <c r="M35" s="78"/>
      <c r="N35" s="79"/>
      <c r="O35" s="289"/>
      <c r="P35" s="291"/>
      <c r="Q35" s="262"/>
      <c r="R35" s="244"/>
      <c r="U35" s="81"/>
    </row>
    <row r="36" spans="5:21" ht="15" customHeight="1" x14ac:dyDescent="0.25">
      <c r="E36" s="244"/>
      <c r="F36" s="260"/>
      <c r="G36" s="262">
        <f>'Wyniki graficzne wiatr I'!G32</f>
        <v>8</v>
      </c>
      <c r="H36" s="291">
        <f t="array" ref="H36">IF(O8="T",INDEX(F84:F100,MATCH(TRUE,G84:G100&gt;=I36,0)),IF(O8="W",INDEX(M84:M100,MATCH(TRUE,N84:N100&gt;=I36,0)),IF(O8="H",INDEX(T84:T103,MATCH(TRUE,U84:U103&gt;=I36,0)),0)))</f>
        <v>4</v>
      </c>
      <c r="I36" s="290">
        <f>MAX('Łączniki wiatr I'!I36,'Przemieszczenia wiatr I'!I36)</f>
        <v>6.730125515563377</v>
      </c>
      <c r="J36" s="80"/>
      <c r="K36" s="287"/>
      <c r="L36" s="77"/>
      <c r="M36" s="78"/>
      <c r="N36" s="79"/>
      <c r="O36" s="289">
        <f>MAX('Łączniki wiatr I'!O36,'Przemieszczenia wiatr I'!O36)</f>
        <v>6.730125515563377</v>
      </c>
      <c r="P36" s="291">
        <f t="array" ref="P36">IF(O8="T",INDEX(F84:F100,MATCH(TRUE,G84:G100&gt;=O36,0)),IF(O8="W",INDEX(M84:M100,MATCH(TRUE,N84:N100&gt;=O36,0)),IF(O8="H",INDEX(T84:T103,MATCH(TRUE,U84:U103&gt;=O36,0)),0)))</f>
        <v>4</v>
      </c>
      <c r="Q36" s="262">
        <f>'Wyniki graficzne wiatr I'!Q32</f>
        <v>8</v>
      </c>
      <c r="R36" s="244"/>
    </row>
    <row r="37" spans="5:21" ht="15" customHeight="1" x14ac:dyDescent="0.25">
      <c r="E37" s="244"/>
      <c r="F37" s="260"/>
      <c r="G37" s="262"/>
      <c r="H37" s="291"/>
      <c r="I37" s="290"/>
      <c r="J37" s="271"/>
      <c r="K37" s="287"/>
      <c r="L37" s="77"/>
      <c r="M37" s="78"/>
      <c r="N37" s="79"/>
      <c r="O37" s="289"/>
      <c r="P37" s="291"/>
      <c r="Q37" s="262"/>
      <c r="R37" s="244"/>
    </row>
    <row r="38" spans="5:21" ht="15" customHeight="1" x14ac:dyDescent="0.25">
      <c r="E38" s="244"/>
      <c r="F38" s="260"/>
      <c r="G38" s="262"/>
      <c r="H38" s="291"/>
      <c r="I38" s="290"/>
      <c r="J38" s="271"/>
      <c r="K38" s="287"/>
      <c r="L38" s="77"/>
      <c r="M38" s="78"/>
      <c r="N38" s="79"/>
      <c r="O38" s="289"/>
      <c r="P38" s="291"/>
      <c r="Q38" s="262"/>
      <c r="R38" s="244"/>
    </row>
    <row r="39" spans="5:21" ht="15" customHeight="1" x14ac:dyDescent="0.25">
      <c r="E39" s="244"/>
      <c r="F39" s="260"/>
      <c r="G39" s="262"/>
      <c r="H39" s="291"/>
      <c r="I39" s="290"/>
      <c r="J39" s="80"/>
      <c r="K39" s="287"/>
      <c r="L39" s="77"/>
      <c r="M39" s="78"/>
      <c r="N39" s="79"/>
      <c r="O39" s="289"/>
      <c r="P39" s="291"/>
      <c r="Q39" s="262"/>
      <c r="R39" s="244"/>
    </row>
    <row r="40" spans="5:21" ht="15" customHeight="1" x14ac:dyDescent="0.25">
      <c r="E40" s="244"/>
      <c r="F40" s="260"/>
      <c r="G40" s="262">
        <f>'Wyniki graficzne wiatr I'!G36</f>
        <v>2</v>
      </c>
      <c r="H40" s="291">
        <f t="array" ref="H40">IF(O8="T",INDEX(F84:F100,MATCH(TRUE,G84:G100&gt;=I40,0)),IF(O8="W",INDEX(M84:M100,MATCH(TRUE,N84:N100&gt;=I40,0)),IF(O8="H",INDEX(T84:T103,MATCH(TRUE,U84:U103&gt;=I40,0)),0)))</f>
        <v>6</v>
      </c>
      <c r="I40" s="290">
        <f>MAX('Łączniki wiatr I'!I40,'Przemieszczenia wiatr I'!I40)</f>
        <v>8.5656142925352068</v>
      </c>
      <c r="J40" s="80"/>
      <c r="K40" s="287"/>
      <c r="L40" s="77"/>
      <c r="M40" s="78"/>
      <c r="N40" s="79"/>
      <c r="O40" s="289">
        <f>MAX('Łączniki wiatr I'!O40,'Przemieszczenia wiatr I'!O40)</f>
        <v>8.5656142925352068</v>
      </c>
      <c r="P40" s="291">
        <f t="array" ref="P40">IF(O8="T",INDEX(F84:F100,MATCH(TRUE,G84:G100&gt;=O40,0)),IF(O8="W",INDEX(M84:M100,MATCH(TRUE,N84:N100&gt;=O40,0)),IF(O8="H",INDEX(T84:T103,MATCH(TRUE,U84:U103&gt;=O40,0)),0)))</f>
        <v>6</v>
      </c>
      <c r="Q40" s="262">
        <f>'Wyniki graficzne wiatr I'!Q36</f>
        <v>2</v>
      </c>
      <c r="R40" s="244"/>
    </row>
    <row r="41" spans="5:21" ht="15" customHeight="1" x14ac:dyDescent="0.25">
      <c r="E41" s="244"/>
      <c r="F41" s="260"/>
      <c r="G41" s="262"/>
      <c r="H41" s="291"/>
      <c r="I41" s="290"/>
      <c r="J41" s="271"/>
      <c r="K41" s="287"/>
      <c r="L41" s="77"/>
      <c r="M41" s="78"/>
      <c r="N41" s="79"/>
      <c r="O41" s="289"/>
      <c r="P41" s="291"/>
      <c r="Q41" s="262"/>
      <c r="R41" s="244"/>
    </row>
    <row r="42" spans="5:21" ht="15" customHeight="1" x14ac:dyDescent="0.25">
      <c r="E42" s="244"/>
      <c r="F42" s="260"/>
      <c r="G42" s="262"/>
      <c r="H42" s="291"/>
      <c r="I42" s="290"/>
      <c r="J42" s="271"/>
      <c r="K42" s="287"/>
      <c r="L42" s="77"/>
      <c r="M42" s="78"/>
      <c r="N42" s="79"/>
      <c r="O42" s="289"/>
      <c r="P42" s="291"/>
      <c r="Q42" s="262"/>
      <c r="R42" s="244"/>
    </row>
    <row r="43" spans="5:21" ht="15.75" customHeight="1" thickBot="1" x14ac:dyDescent="0.3">
      <c r="E43" s="244"/>
      <c r="F43" s="260"/>
      <c r="G43" s="262"/>
      <c r="H43" s="291"/>
      <c r="I43" s="290"/>
      <c r="J43" s="83"/>
      <c r="K43" s="84"/>
      <c r="L43" s="88" t="s">
        <v>100</v>
      </c>
      <c r="M43" s="84"/>
      <c r="N43" s="85"/>
      <c r="O43" s="289"/>
      <c r="P43" s="291"/>
      <c r="Q43" s="262"/>
      <c r="R43" s="244"/>
    </row>
    <row r="44" spans="5:21" ht="15.75" customHeight="1" thickTop="1" x14ac:dyDescent="0.25">
      <c r="H44" s="191"/>
      <c r="I44" s="292" t="s">
        <v>289</v>
      </c>
      <c r="J44" s="295">
        <f>MAX('Łączniki wiatr I'!J44,'Przemieszczenia wiatr I'!J44)</f>
        <v>8.5656142925352068</v>
      </c>
      <c r="K44" s="295">
        <f>MAX('Łączniki wiatr I'!K44,'Przemieszczenia wiatr I'!K44)</f>
        <v>8.5656142925352068</v>
      </c>
      <c r="L44" s="295">
        <f>MAX('Łączniki wiatr I'!L44,'Przemieszczenia wiatr I'!L44)</f>
        <v>8.5656142925352068</v>
      </c>
      <c r="M44" s="295">
        <f>MAX('Łączniki wiatr I'!M44,'Przemieszczenia wiatr I'!M44)</f>
        <v>8.5656142925352068</v>
      </c>
      <c r="N44" s="295">
        <f>MAX('Łączniki wiatr I'!N44,'Przemieszczenia wiatr I'!N44)</f>
        <v>8.5656142925352068</v>
      </c>
      <c r="O44" s="187"/>
      <c r="P44" s="185"/>
    </row>
    <row r="45" spans="5:21" ht="15" customHeight="1" x14ac:dyDescent="0.25">
      <c r="I45" s="292"/>
      <c r="J45" s="296"/>
      <c r="K45" s="296"/>
      <c r="L45" s="296"/>
      <c r="M45" s="296"/>
      <c r="N45" s="296"/>
      <c r="O45" s="188"/>
    </row>
    <row r="46" spans="5:21" ht="15" customHeight="1" x14ac:dyDescent="0.25">
      <c r="I46" s="292"/>
      <c r="J46" s="296"/>
      <c r="K46" s="296"/>
      <c r="L46" s="296"/>
      <c r="M46" s="296"/>
      <c r="N46" s="296"/>
      <c r="O46" s="188"/>
    </row>
    <row r="47" spans="5:21" ht="15" customHeight="1" x14ac:dyDescent="0.25">
      <c r="I47" s="292" t="s">
        <v>264</v>
      </c>
      <c r="J47" s="291">
        <f t="array" ref="J47">IF(O8="T",INDEX(F84:F100,MATCH(TRUE,G84:G100&gt;=J44,0)),IF(O8="W",INDEX(M84:M100,MATCH(TRUE,N84:N100&gt;=J44,0)),IF(O8="H",INDEX(T84:T103,MATCH(TRUE,U84:U103&gt;=J44,0)),0)))</f>
        <v>6</v>
      </c>
      <c r="K47" s="291">
        <f t="array" ref="K47">IF(O8="T",INDEX(F84:F100,MATCH(TRUE,G84:G100&gt;=K44,0)),IF(O8="W",INDEX(M84:M100,MATCH(TRUE,N84:N100&gt;=K44,0)),IF(O8="H",INDEX(T84:T103,MATCH(TRUE,U84:U103&gt;=K44,0)),0)))</f>
        <v>6</v>
      </c>
      <c r="L47" s="298">
        <f t="array" ref="L47">IF(O8="T",INDEX(F84:F100,MATCH(TRUE,G84:G100&gt;=L44,0)),IF(O8="W",INDEX(M84:M100,MATCH(TRUE,N84:N100&gt;=L44,0)),IF(O8="H",INDEX(T84:T103,MATCH(TRUE,U84:U103&gt;=L44,0)),0)))</f>
        <v>6</v>
      </c>
      <c r="M47" s="291">
        <f t="array" ref="M47">IF(O8="T",INDEX(F84:F100,MATCH(TRUE,G84:G100&gt;=M44,0)),IF(O8="W",INDEX(M84:M100,MATCH(TRUE,N84:N100&gt;=M44,0)),IF(O8="H",INDEX(T84:T103,MATCH(TRUE,U84:U103&gt;=M44,0)),0)))</f>
        <v>6</v>
      </c>
      <c r="N47" s="291">
        <f t="array" ref="N47">IF(O8="T",INDEX(F84:F100,MATCH(TRUE,G84:G100&gt;=N44,0)),IF(O8="W",INDEX(M84:M100,MATCH(TRUE,N84:N100&gt;=N44,0)),IF(O8="H",INDEX(T84:T103,MATCH(TRUE,U84:U103&gt;=N44,0)),0)))</f>
        <v>6</v>
      </c>
      <c r="O47" s="188"/>
    </row>
    <row r="48" spans="5:21" ht="15" customHeight="1" x14ac:dyDescent="0.25">
      <c r="I48" s="292"/>
      <c r="J48" s="291"/>
      <c r="K48" s="291"/>
      <c r="L48" s="298"/>
      <c r="M48" s="291"/>
      <c r="N48" s="291"/>
      <c r="O48" s="188"/>
    </row>
    <row r="49" spans="9:15" x14ac:dyDescent="0.25">
      <c r="I49" s="297" t="s">
        <v>180</v>
      </c>
      <c r="J49" s="262" t="str">
        <f>'Wyniki graficzne wiatr I'!J45</f>
        <v/>
      </c>
      <c r="K49" s="262" t="str">
        <f>'Wyniki graficzne wiatr I'!K45</f>
        <v/>
      </c>
      <c r="L49" s="262" t="str">
        <f>'Wyniki graficzne wiatr I'!L45</f>
        <v/>
      </c>
      <c r="M49" s="262" t="str">
        <f>'Wyniki graficzne wiatr I'!M45</f>
        <v/>
      </c>
      <c r="N49" s="262">
        <f>'Wyniki graficzne wiatr I'!N45</f>
        <v>10</v>
      </c>
    </row>
    <row r="50" spans="9:15" x14ac:dyDescent="0.25">
      <c r="I50" s="297"/>
      <c r="J50" s="262"/>
      <c r="K50" s="262"/>
      <c r="L50" s="262"/>
      <c r="M50" s="262"/>
      <c r="N50" s="262"/>
    </row>
    <row r="51" spans="9:15" x14ac:dyDescent="0.25">
      <c r="I51" s="297"/>
      <c r="J51" s="262"/>
      <c r="K51" s="262"/>
      <c r="L51" s="262"/>
      <c r="M51" s="262"/>
      <c r="N51" s="262"/>
    </row>
    <row r="52" spans="9:15" x14ac:dyDescent="0.25">
      <c r="I52" s="297"/>
      <c r="J52" s="262"/>
      <c r="K52" s="262"/>
      <c r="L52" s="262"/>
      <c r="M52" s="262"/>
      <c r="N52" s="262"/>
    </row>
    <row r="53" spans="9:15" ht="15" customHeight="1" x14ac:dyDescent="0.25">
      <c r="I53" s="86"/>
      <c r="J53" s="262" t="str">
        <f>TEXT(N75+N76+N77,"####0,0##")&amp;" m"</f>
        <v>10,0 m</v>
      </c>
      <c r="K53" s="262"/>
      <c r="L53" s="262"/>
      <c r="M53" s="262"/>
      <c r="N53" s="262"/>
      <c r="O53" s="86"/>
    </row>
    <row r="54" spans="9:15" ht="15" customHeight="1" x14ac:dyDescent="0.25">
      <c r="I54" s="86"/>
      <c r="J54" s="262"/>
      <c r="K54" s="262"/>
      <c r="L54" s="262"/>
      <c r="M54" s="262"/>
      <c r="N54" s="262"/>
      <c r="O54" s="86"/>
    </row>
    <row r="55" spans="9:15" ht="15" customHeight="1" x14ac:dyDescent="0.25">
      <c r="I55" s="86"/>
      <c r="J55" s="262"/>
      <c r="K55" s="262"/>
      <c r="L55" s="262"/>
      <c r="M55" s="262"/>
      <c r="N55" s="262"/>
      <c r="O55" s="86"/>
    </row>
    <row r="56" spans="9:15" ht="15" customHeight="1" x14ac:dyDescent="0.25">
      <c r="I56" s="86"/>
      <c r="J56" s="282" t="str">
        <f>"Wysokość  ze = "&amp;TEXT('Obliczenia wiatr I'!D46,"####0,0##")&amp;" m"</f>
        <v>Wysokość  ze = 25,0 m</v>
      </c>
      <c r="K56" s="282"/>
      <c r="L56" s="282"/>
      <c r="M56" s="282"/>
      <c r="N56" s="282"/>
      <c r="O56" s="86"/>
    </row>
    <row r="57" spans="9:15" ht="15" customHeight="1" x14ac:dyDescent="0.25">
      <c r="I57" s="86"/>
      <c r="J57" s="282"/>
      <c r="K57" s="282"/>
      <c r="L57" s="282"/>
      <c r="M57" s="282"/>
      <c r="N57" s="282"/>
      <c r="O57" s="86"/>
    </row>
    <row r="58" spans="9:15" ht="15" customHeight="1" x14ac:dyDescent="0.25">
      <c r="I58" s="86"/>
      <c r="J58" s="282"/>
      <c r="K58" s="282"/>
      <c r="L58" s="282"/>
      <c r="M58" s="282"/>
      <c r="N58" s="282"/>
      <c r="O58" s="86"/>
    </row>
    <row r="61" spans="9:15" x14ac:dyDescent="0.25">
      <c r="J61" s="293" t="s">
        <v>267</v>
      </c>
      <c r="K61" s="293"/>
      <c r="L61" s="293"/>
      <c r="M61" s="293"/>
      <c r="N61" s="293"/>
    </row>
    <row r="63" spans="9:15" x14ac:dyDescent="0.25">
      <c r="J63" s="6">
        <f>(1-O10/100)*'Wyniki graficzne wiatr I'!J15</f>
        <v>2.1321384265360308</v>
      </c>
      <c r="K63" s="6">
        <f>(1-O10/100)*'Wyniki graficzne wiatr I'!K15</f>
        <v>2.1321384265360308</v>
      </c>
      <c r="L63" s="6">
        <f>(1-O10/100)*'Wyniki graficzne wiatr I'!L15</f>
        <v>2.1321384265360308</v>
      </c>
      <c r="M63" s="6">
        <f>(1-O10/100)*'Wyniki graficzne wiatr I'!M15</f>
        <v>2.1321384265360308</v>
      </c>
      <c r="N63" s="6">
        <f>(1-O10/100)*'Wyniki graficzne wiatr I'!N15</f>
        <v>2.1321384265360308</v>
      </c>
    </row>
    <row r="64" spans="9:15" x14ac:dyDescent="0.25">
      <c r="I64" s="6">
        <f>(1-O10/100)*'Wyniki graficzne wiatr I'!H20</f>
        <v>2.1321384265360308</v>
      </c>
      <c r="O64" s="6">
        <f>(1-O10/100)*'Wyniki graficzne wiatr I'!O20</f>
        <v>2.1321384265360308</v>
      </c>
    </row>
    <row r="65" spans="2:21" x14ac:dyDescent="0.25">
      <c r="I65" s="6">
        <f>(1-O10/100)*'Wyniki graficzne wiatr I'!H24</f>
        <v>1.6752516208497386</v>
      </c>
      <c r="O65" s="6">
        <f>(1-O10/100)*'Wyniki graficzne wiatr I'!O24</f>
        <v>1.6752516208497386</v>
      </c>
    </row>
    <row r="66" spans="2:21" x14ac:dyDescent="0.25">
      <c r="I66" s="6">
        <f>(1-O10/100)*'Wyniki graficzne wiatr I'!H28</f>
        <v>0.87569971089872689</v>
      </c>
      <c r="O66" s="6">
        <f>(1-O10/100)*'Wyniki graficzne wiatr I'!O28</f>
        <v>0.87569971089872689</v>
      </c>
    </row>
    <row r="67" spans="2:21" x14ac:dyDescent="0.25">
      <c r="I67" s="6">
        <f>(1-O10/100)*'Wyniki graficzne wiatr I'!H32</f>
        <v>1.6752516208497386</v>
      </c>
      <c r="O67" s="6">
        <f>(1-O10/100)*'Wyniki graficzne wiatr I'!O32</f>
        <v>1.6752516208497386</v>
      </c>
    </row>
    <row r="68" spans="2:21" x14ac:dyDescent="0.25">
      <c r="I68" s="6">
        <f>(1-O10/100)*'Wyniki graficzne wiatr I'!H36</f>
        <v>2.1321384265360308</v>
      </c>
      <c r="O68" s="6">
        <f>(1-O10/100)*'Wyniki graficzne wiatr I'!O36</f>
        <v>2.1321384265360308</v>
      </c>
    </row>
    <row r="69" spans="2:21" x14ac:dyDescent="0.25">
      <c r="J69" s="6">
        <f>(1-O10/100)*'Wyniki graficzne wiatr I'!J40</f>
        <v>2.1321384265360308</v>
      </c>
      <c r="K69" s="6">
        <f>(1-O10/100)*'Wyniki graficzne wiatr I'!K40</f>
        <v>2.1321384265360308</v>
      </c>
      <c r="L69" s="6">
        <f>(1-O10/100)*'Wyniki graficzne wiatr I'!L40</f>
        <v>2.1321384265360308</v>
      </c>
      <c r="M69" s="6">
        <f>(1-O10/100)*'Wyniki graficzne wiatr I'!M40</f>
        <v>2.1321384265360308</v>
      </c>
      <c r="N69" s="6">
        <f>(1-O10/100)*'Wyniki graficzne wiatr I'!N40</f>
        <v>2.1321384265360308</v>
      </c>
    </row>
    <row r="71" spans="2:21" x14ac:dyDescent="0.25">
      <c r="B71" s="166"/>
      <c r="H71" s="29"/>
      <c r="I71" s="29"/>
      <c r="J71" s="29"/>
      <c r="K71" s="29"/>
      <c r="L71" s="29"/>
      <c r="M71" s="29"/>
    </row>
    <row r="72" spans="2:21" x14ac:dyDescent="0.25">
      <c r="J72" s="294" t="s">
        <v>96</v>
      </c>
      <c r="K72" s="294"/>
      <c r="L72" s="294"/>
      <c r="M72" s="294"/>
      <c r="N72" s="294"/>
    </row>
    <row r="74" spans="2:21" x14ac:dyDescent="0.25">
      <c r="H74" s="16"/>
      <c r="K74" s="13" t="s">
        <v>97</v>
      </c>
      <c r="L74" s="19" t="s">
        <v>98</v>
      </c>
      <c r="M74" s="13" t="s">
        <v>99</v>
      </c>
      <c r="N74" s="13" t="s">
        <v>100</v>
      </c>
    </row>
    <row r="75" spans="2:21" x14ac:dyDescent="0.25">
      <c r="H75" s="16"/>
      <c r="J75" s="13" t="s">
        <v>101</v>
      </c>
      <c r="K75">
        <f>'Obliczenia wiatr I'!C31</f>
        <v>2</v>
      </c>
      <c r="L75">
        <f>'Obliczenia wiatr I'!D31</f>
        <v>5.6</v>
      </c>
      <c r="M75">
        <f>'Obliczenia wiatr I'!C31</f>
        <v>2</v>
      </c>
      <c r="N75">
        <f>'Obliczenia wiatr I'!D31</f>
        <v>5.6</v>
      </c>
      <c r="R75" s="16"/>
      <c r="S75" s="16"/>
      <c r="T75" s="16"/>
      <c r="U75" s="16"/>
    </row>
    <row r="76" spans="2:21" x14ac:dyDescent="0.25">
      <c r="H76" s="16"/>
      <c r="J76" s="13" t="s">
        <v>102</v>
      </c>
      <c r="K76">
        <f>'Obliczenia wiatr I'!C32</f>
        <v>8</v>
      </c>
      <c r="L76">
        <f>'Obliczenia wiatr I'!D32</f>
        <v>4.4000000000000004</v>
      </c>
      <c r="M76">
        <f>'Obliczenia wiatr I'!C32</f>
        <v>8</v>
      </c>
      <c r="N76">
        <f>'Obliczenia wiatr I'!D32</f>
        <v>4.4000000000000004</v>
      </c>
      <c r="R76" s="16"/>
      <c r="S76" s="16"/>
      <c r="T76" s="16"/>
      <c r="U76" s="16"/>
    </row>
    <row r="77" spans="2:21" x14ac:dyDescent="0.25">
      <c r="H77" s="16"/>
      <c r="J77" s="13" t="s">
        <v>103</v>
      </c>
      <c r="K77" s="18">
        <f>'Obliczenia wiatr I'!C33</f>
        <v>18</v>
      </c>
      <c r="L77" s="18">
        <f>'Obliczenia wiatr I'!D33</f>
        <v>0</v>
      </c>
      <c r="M77" s="18">
        <f>'Obliczenia wiatr I'!C33</f>
        <v>18</v>
      </c>
      <c r="N77" s="18">
        <f>'Obliczenia wiatr I'!D33</f>
        <v>0</v>
      </c>
    </row>
    <row r="78" spans="2:21" x14ac:dyDescent="0.25">
      <c r="H78" s="16"/>
      <c r="J78" s="13"/>
    </row>
    <row r="79" spans="2:21" x14ac:dyDescent="0.25">
      <c r="H79" s="16"/>
      <c r="J79" s="13" t="s">
        <v>104</v>
      </c>
      <c r="K79" s="18">
        <f>'Obliczenia wiatr I'!C25</f>
        <v>10</v>
      </c>
      <c r="L79" s="18">
        <f>'Obliczenia wiatr I'!D25</f>
        <v>28</v>
      </c>
      <c r="M79" s="18">
        <f>'Obliczenia wiatr I'!C25</f>
        <v>10</v>
      </c>
      <c r="N79" s="18">
        <f>'Obliczenia wiatr I'!D25</f>
        <v>28</v>
      </c>
    </row>
    <row r="81" spans="2:21" x14ac:dyDescent="0.25">
      <c r="B81" s="293" t="s">
        <v>268</v>
      </c>
      <c r="C81" s="293"/>
      <c r="D81" s="293"/>
      <c r="E81" s="293"/>
      <c r="F81" s="293"/>
      <c r="G81" s="293"/>
      <c r="I81" s="293" t="s">
        <v>270</v>
      </c>
      <c r="J81" s="293"/>
      <c r="K81" s="293"/>
      <c r="L81" s="293"/>
      <c r="M81" s="293"/>
      <c r="N81" s="293"/>
      <c r="P81" s="293" t="s">
        <v>271</v>
      </c>
      <c r="Q81" s="293"/>
      <c r="R81" s="293"/>
      <c r="S81" s="293"/>
      <c r="T81" s="293"/>
      <c r="U81" s="293"/>
    </row>
    <row r="83" spans="2:21" x14ac:dyDescent="0.25">
      <c r="B83" t="s">
        <v>264</v>
      </c>
      <c r="C83" t="s">
        <v>265</v>
      </c>
      <c r="D83" t="s">
        <v>266</v>
      </c>
      <c r="E83" t="s">
        <v>266</v>
      </c>
      <c r="F83" t="s">
        <v>264</v>
      </c>
      <c r="G83" t="s">
        <v>265</v>
      </c>
      <c r="I83" t="s">
        <v>264</v>
      </c>
      <c r="J83" t="s">
        <v>265</v>
      </c>
      <c r="K83" t="s">
        <v>266</v>
      </c>
      <c r="L83" t="s">
        <v>266</v>
      </c>
      <c r="M83" t="s">
        <v>264</v>
      </c>
      <c r="N83" t="s">
        <v>265</v>
      </c>
      <c r="P83" t="s">
        <v>264</v>
      </c>
      <c r="Q83" t="s">
        <v>265</v>
      </c>
      <c r="R83" t="s">
        <v>266</v>
      </c>
      <c r="S83" t="s">
        <v>266</v>
      </c>
      <c r="T83" t="s">
        <v>264</v>
      </c>
      <c r="U83" t="s">
        <v>265</v>
      </c>
    </row>
    <row r="84" spans="2:21" x14ac:dyDescent="0.25">
      <c r="B84">
        <v>1</v>
      </c>
      <c r="C84" s="2">
        <f>'Obliczenia nośności T'!$D$13</f>
        <v>4</v>
      </c>
      <c r="D84" s="2">
        <f>IF($C$84&lt;$O$9,0,'Obliczenia nośności T'!$D$29)</f>
        <v>0</v>
      </c>
      <c r="E84" s="2">
        <f>SMALL(D84:D100,1)</f>
        <v>0</v>
      </c>
      <c r="F84">
        <f>INDEX(B84:B100,MATCH(E84,D84:D100,))</f>
        <v>1</v>
      </c>
      <c r="G84" s="18">
        <f>INDEX(C84:C100,MATCH(E84,D84:D100,))</f>
        <v>4</v>
      </c>
      <c r="I84">
        <v>1</v>
      </c>
      <c r="J84" s="2">
        <f>'Obliczenia nośności W'!$D$13</f>
        <v>3.3333333333333335</v>
      </c>
      <c r="K84" s="2">
        <f>IF($J$84&lt;$O$9,0,'Obliczenia nośności W'!$D$29)</f>
        <v>0</v>
      </c>
      <c r="L84" s="2">
        <f>SMALL(K84:K100,1)</f>
        <v>0</v>
      </c>
      <c r="M84">
        <f>INDEX(I84:I100,MATCH(L84,K84:K100,))</f>
        <v>1</v>
      </c>
      <c r="N84" s="18">
        <f>INDEX(J84:J100,MATCH(L84,K84:K100,))</f>
        <v>3.3333333333333335</v>
      </c>
      <c r="P84">
        <v>1</v>
      </c>
      <c r="Q84" s="2">
        <f>'Obliczenia nośności H'!$D$27</f>
        <v>4.166666666666667</v>
      </c>
      <c r="R84" s="2">
        <f>IF($Q$84&lt;$O$9,0,'Obliczenia nośności H'!$D$43)</f>
        <v>0</v>
      </c>
      <c r="S84" s="2">
        <f>SMALL(R84:R103,1)</f>
        <v>0</v>
      </c>
      <c r="T84">
        <f>INDEX(P84:P103,MATCH(S84,R84:R103,))</f>
        <v>1</v>
      </c>
      <c r="U84" s="18">
        <f>INDEX(Q84:Q103,MATCH(S84,R84:R103,))</f>
        <v>4.166666666666667</v>
      </c>
    </row>
    <row r="85" spans="2:21" x14ac:dyDescent="0.25">
      <c r="B85">
        <v>2</v>
      </c>
      <c r="C85" s="2">
        <f>'Obliczenia nośności T'!$E$13</f>
        <v>5</v>
      </c>
      <c r="D85" s="2">
        <f>IF($C$85&lt;$O$9,0,'Obliczenia nośności T'!$E$29)</f>
        <v>1.36</v>
      </c>
      <c r="E85" s="2">
        <f>SMALL(D84:D100,2)</f>
        <v>1.36</v>
      </c>
      <c r="F85">
        <f>INDEX(B84:B100,MATCH(E85,D84:D100,))</f>
        <v>2</v>
      </c>
      <c r="G85" s="18">
        <f>INDEX(C84:C100,MATCH(E85,D84:D100,))</f>
        <v>5</v>
      </c>
      <c r="I85">
        <v>2</v>
      </c>
      <c r="J85" s="2">
        <f>'Obliczenia nośności W'!$E$13</f>
        <v>4.166666666666667</v>
      </c>
      <c r="K85" s="2">
        <f>IF($J$85&lt;$O$9,0,'Obliczenia nośności W'!$E$29)</f>
        <v>0</v>
      </c>
      <c r="L85" s="2">
        <f>SMALL(K84:K100,2)</f>
        <v>0</v>
      </c>
      <c r="M85">
        <f>INDEX(I84:I100,MATCH(L85,K84:K100,))</f>
        <v>1</v>
      </c>
      <c r="N85" s="18">
        <f>INDEX(J84:J100,MATCH(L85,K84:K100,))</f>
        <v>3.3333333333333335</v>
      </c>
      <c r="P85">
        <v>2</v>
      </c>
      <c r="Q85" s="2">
        <f>'Obliczenia nośności H'!$E$27</f>
        <v>5.2083333333333339</v>
      </c>
      <c r="R85" s="2">
        <f>IF($Q$85&lt;$O$9,0,'Obliczenia nośności H'!$E$43)</f>
        <v>1.484375</v>
      </c>
      <c r="S85" s="2">
        <f>SMALL(R84:R103,2)</f>
        <v>0</v>
      </c>
      <c r="T85">
        <f>INDEX(P84:P103,MATCH(S85,R84:R103,))</f>
        <v>1</v>
      </c>
      <c r="U85" s="18">
        <f>INDEX(Q84:Q103,MATCH(S85,R84:R103,))</f>
        <v>4.166666666666667</v>
      </c>
    </row>
    <row r="86" spans="2:21" x14ac:dyDescent="0.25">
      <c r="B86">
        <v>3</v>
      </c>
      <c r="C86" s="2">
        <f>'Obliczenia nośności T'!$F$13</f>
        <v>6</v>
      </c>
      <c r="D86" s="2">
        <f>IF($C$86&lt;$O$9,0,'Obliczenia nośności T'!$F$29)</f>
        <v>1.6800000000000002</v>
      </c>
      <c r="E86" s="2">
        <f>SMALL(D84:D100,3)</f>
        <v>1.6800000000000002</v>
      </c>
      <c r="F86">
        <f>INDEX(B84:B100,MATCH(E86,D84:D100,))</f>
        <v>3</v>
      </c>
      <c r="G86" s="18">
        <f>INDEX(C84:C100,MATCH(E86,D84:D100,))</f>
        <v>6</v>
      </c>
      <c r="I86">
        <v>3</v>
      </c>
      <c r="J86" s="2">
        <f>'Obliczenia nośności W'!$F$13</f>
        <v>5</v>
      </c>
      <c r="K86" s="2">
        <f>IF($J$86&lt;$O$9,0,'Obliczenia nośności W'!$F$29)</f>
        <v>0.92500000000000004</v>
      </c>
      <c r="L86" s="2">
        <f>SMALL(K84:K100,3)</f>
        <v>0</v>
      </c>
      <c r="M86">
        <f>INDEX(I84:I100,MATCH(L86,K84:K100,))</f>
        <v>1</v>
      </c>
      <c r="N86" s="18">
        <f>INDEX(J84:J100,MATCH(L86,K84:K100,))</f>
        <v>3.3333333333333335</v>
      </c>
      <c r="P86">
        <v>3</v>
      </c>
      <c r="Q86" s="2">
        <f>'Obliczenia nośności H'!$F$27</f>
        <v>6.25</v>
      </c>
      <c r="R86" s="2">
        <f>IF($Q$86&lt;$O$9,0,'Obliczenia nośności H'!$F$43)</f>
        <v>1.78125</v>
      </c>
      <c r="S86" s="2">
        <f>SMALL(R84:R103,3)</f>
        <v>1.484375</v>
      </c>
      <c r="T86">
        <f>INDEX(P84:P103,MATCH(S86,R84:R103,))</f>
        <v>2</v>
      </c>
      <c r="U86" s="18">
        <f>INDEX(Q84:Q103,MATCH(S86,R84:R103,))</f>
        <v>5.2083333333333339</v>
      </c>
    </row>
    <row r="87" spans="2:21" x14ac:dyDescent="0.25">
      <c r="B87">
        <v>4</v>
      </c>
      <c r="C87" s="2">
        <f>'Obliczenia nośności T'!$G$13</f>
        <v>7</v>
      </c>
      <c r="D87" s="2">
        <f>IF($C$87&lt;$O$9,0,'Obliczenia nośności T'!$G$29)</f>
        <v>2</v>
      </c>
      <c r="E87" s="2">
        <f>SMALL(D84:D100,4)</f>
        <v>2</v>
      </c>
      <c r="F87">
        <f>INDEX(B84:B100,MATCH(E87,D84:D100,))</f>
        <v>4</v>
      </c>
      <c r="G87" s="18">
        <f>INDEX(C84:C100,MATCH(E87,D84:D100,))</f>
        <v>7</v>
      </c>
      <c r="I87">
        <v>4</v>
      </c>
      <c r="J87" s="2">
        <f>'Obliczenia nośności W'!$G$13</f>
        <v>5.8333333333333339</v>
      </c>
      <c r="K87" s="2">
        <f>IF($J$87&lt;$O$9,0,'Obliczenia nośności W'!$G$29)</f>
        <v>1.0791666666666668</v>
      </c>
      <c r="L87" s="2">
        <f>SMALL(K84:K100,4)</f>
        <v>0.92500000000000004</v>
      </c>
      <c r="M87">
        <f>INDEX(I84:I100,MATCH(L87,K84:K100,))</f>
        <v>3</v>
      </c>
      <c r="N87" s="18">
        <f>INDEX(J84:J100,MATCH(L87,K84:K100,))</f>
        <v>5</v>
      </c>
      <c r="P87">
        <v>4</v>
      </c>
      <c r="Q87" s="2">
        <f>'Obliczenia nośności H'!$G$27</f>
        <v>7.291666666666667</v>
      </c>
      <c r="R87" s="2">
        <f>IF($Q$87&lt;$O$9,0,'Obliczenia nośności H'!$G$43)</f>
        <v>2.078125</v>
      </c>
      <c r="S87" s="2">
        <f>SMALL(R84:R103,4)</f>
        <v>1.7812499999999998</v>
      </c>
      <c r="T87">
        <f>INDEX(P84:P103,MATCH(S87,R84:R103,))</f>
        <v>14</v>
      </c>
      <c r="U87" s="18">
        <f>INDEX(Q84:Q103,MATCH(S87,R84:R103,))</f>
        <v>6.25</v>
      </c>
    </row>
    <row r="88" spans="2:21" x14ac:dyDescent="0.25">
      <c r="B88">
        <v>5</v>
      </c>
      <c r="C88" s="2">
        <f>'Obliczenia nośności T'!$H$13</f>
        <v>8</v>
      </c>
      <c r="D88" s="2">
        <f>IF($C$88&lt;$O$9,0,'Obliczenia nośności T'!$H$29)</f>
        <v>2.3200000000000003</v>
      </c>
      <c r="E88" s="2">
        <f>SMALL(D84:D100,5)</f>
        <v>2.3200000000000003</v>
      </c>
      <c r="F88">
        <f>INDEX(B84:B100,MATCH(E88,D84:D100,))</f>
        <v>5</v>
      </c>
      <c r="G88" s="18">
        <f>INDEX(C84:C100,MATCH(E88,D84:D100,))</f>
        <v>8</v>
      </c>
      <c r="I88">
        <v>5</v>
      </c>
      <c r="J88" s="2">
        <f>'Obliczenia nośności W'!$H$13</f>
        <v>6.666666666666667</v>
      </c>
      <c r="K88" s="2">
        <f>IF($J$88&lt;$O$9,0,'Obliczenia nośności W'!$H$29)</f>
        <v>1.2333333333333334</v>
      </c>
      <c r="L88" s="2">
        <f>SMALL(K84:K100,5)</f>
        <v>1.0791666666666668</v>
      </c>
      <c r="M88">
        <f>INDEX(I84:I100,MATCH(L88,K84:K100,))</f>
        <v>4</v>
      </c>
      <c r="N88" s="18">
        <f>INDEX(J84:J100,MATCH(L88,K84:K100,))</f>
        <v>5.8333333333333339</v>
      </c>
      <c r="P88">
        <v>5</v>
      </c>
      <c r="Q88" s="2">
        <f>'Obliczenia nośności H'!$H$27</f>
        <v>8.3333333333333339</v>
      </c>
      <c r="R88" s="2">
        <f>IF($Q$88&lt;$O$9,0,'Obliczenia nośności H'!$H$43)</f>
        <v>2.375</v>
      </c>
      <c r="S88" s="2">
        <f>SMALL(R84:R103,5)</f>
        <v>1.78125</v>
      </c>
      <c r="T88">
        <f>INDEX(P84:P103,MATCH(S88,R84:R103,))</f>
        <v>3</v>
      </c>
      <c r="U88" s="18">
        <f>INDEX(Q84:Q103,MATCH(S88,R84:R103,))</f>
        <v>6.25</v>
      </c>
    </row>
    <row r="89" spans="2:21" x14ac:dyDescent="0.25">
      <c r="B89">
        <v>6</v>
      </c>
      <c r="C89" s="2">
        <f>'Obliczenia nośności T'!$I$13</f>
        <v>9</v>
      </c>
      <c r="D89" s="2">
        <f>IF($C$89&lt;$O$9,0,'Obliczenia nośności T'!$I$29)</f>
        <v>2.64</v>
      </c>
      <c r="E89" s="2">
        <f>SMALL(D84:D100,6)</f>
        <v>2.64</v>
      </c>
      <c r="F89">
        <f>INDEX(B84:B100,MATCH(E89,D84:D100,))</f>
        <v>6</v>
      </c>
      <c r="G89" s="18">
        <f>INDEX(C84:C100,MATCH(E89,D84:D100,))</f>
        <v>9</v>
      </c>
      <c r="I89">
        <v>6</v>
      </c>
      <c r="J89" s="2">
        <f>'Obliczenia nośności W'!$I$13</f>
        <v>7.5</v>
      </c>
      <c r="K89" s="2">
        <f>IF($J$89&lt;$O$9,0,'Obliczenia nośności W'!$I$29)</f>
        <v>1.3875</v>
      </c>
      <c r="L89" s="2">
        <f>SMALL(K84:K100,6)</f>
        <v>1.2333333333333334</v>
      </c>
      <c r="M89">
        <f>INDEX(I84:I100,MATCH(L89,K84:K100,))</f>
        <v>5</v>
      </c>
      <c r="N89" s="18">
        <f>INDEX(J84:J100,MATCH(L89,K84:K100,))</f>
        <v>6.666666666666667</v>
      </c>
      <c r="P89">
        <v>6</v>
      </c>
      <c r="Q89" s="2">
        <f>'Obliczenia nośności H'!$I$27</f>
        <v>9.375</v>
      </c>
      <c r="R89" s="2">
        <f>IF($Q$89&lt;$O$9,0,'Obliczenia nośności H'!$I$43)</f>
        <v>2.671875</v>
      </c>
      <c r="S89" s="2">
        <f>SMALL(R84:R103,6)</f>
        <v>2.078125</v>
      </c>
      <c r="T89">
        <f>INDEX(P84:P103,MATCH(S89,R84:R103,))</f>
        <v>4</v>
      </c>
      <c r="U89" s="18">
        <f>INDEX(Q84:Q103,MATCH(S89,R84:R103,))</f>
        <v>7.291666666666667</v>
      </c>
    </row>
    <row r="90" spans="2:21" x14ac:dyDescent="0.25">
      <c r="B90">
        <v>7</v>
      </c>
      <c r="C90" s="2">
        <f>'Obliczenia nośności T'!$J$13</f>
        <v>10</v>
      </c>
      <c r="D90" s="2">
        <f>IF($C$90&lt;$O$9,0,'Obliczenia nośności T'!$J$29)</f>
        <v>2.96</v>
      </c>
      <c r="E90" s="2">
        <f>SMALL(D84:D100,7)</f>
        <v>2.84</v>
      </c>
      <c r="F90">
        <f>INDEX(B84:B100,MATCH(E90,D84:D100,))</f>
        <v>17</v>
      </c>
      <c r="G90" s="18">
        <f>INDEX(C84:C100,MATCH(E90,D84:D100,))</f>
        <v>10</v>
      </c>
      <c r="I90">
        <v>7</v>
      </c>
      <c r="J90" s="2">
        <f>'Obliczenia nośności W'!$J$13</f>
        <v>8.3333333333333339</v>
      </c>
      <c r="K90" s="2">
        <f>IF($J$90&lt;$O$9,0,'Obliczenia nośności W'!$J$29)</f>
        <v>1.5416666666666667</v>
      </c>
      <c r="L90" s="2">
        <f>SMALL(K84:K100,7)</f>
        <v>1.3875</v>
      </c>
      <c r="M90">
        <f>INDEX(I84:I100,MATCH(L90,K84:K100,))</f>
        <v>6</v>
      </c>
      <c r="N90" s="18">
        <f>INDEX(J84:J100,MATCH(L90,K84:K100,))</f>
        <v>7.5</v>
      </c>
      <c r="P90">
        <v>7</v>
      </c>
      <c r="Q90" s="2">
        <f>'Obliczenia nośności H'!$J$27</f>
        <v>10.416666666666668</v>
      </c>
      <c r="R90" s="2">
        <f>IF($Q$90&lt;$O$9,0,'Obliczenia nośności H'!$J$43)</f>
        <v>2.96875</v>
      </c>
      <c r="S90" s="2">
        <f>SMALL(R84:R103,7)</f>
        <v>2.375</v>
      </c>
      <c r="T90">
        <f>INDEX(P84:P103,MATCH(S90,R84:R103,))</f>
        <v>5</v>
      </c>
      <c r="U90" s="18">
        <f>INDEX(Q84:Q103,MATCH(S90,R84:R103,))</f>
        <v>8.3333333333333339</v>
      </c>
    </row>
    <row r="91" spans="2:21" x14ac:dyDescent="0.25">
      <c r="B91">
        <v>8</v>
      </c>
      <c r="C91" s="2">
        <f>'Obliczenia nośności T'!$K$13</f>
        <v>11</v>
      </c>
      <c r="D91" s="2">
        <f>IF($C$91&lt;$O$9,0,'Obliczenia nośności T'!$K$29)</f>
        <v>3.2800000000000002</v>
      </c>
      <c r="E91" s="2">
        <f>SMALL(D84:D100,8)</f>
        <v>2.96</v>
      </c>
      <c r="F91">
        <f>INDEX(B84:B100,MATCH(E91,D84:D100,))</f>
        <v>7</v>
      </c>
      <c r="G91" s="18">
        <f>INDEX(C84:C100,MATCH(E91,D84:D100,))</f>
        <v>10</v>
      </c>
      <c r="I91">
        <v>8</v>
      </c>
      <c r="J91" s="2">
        <f>'Obliczenia nośności W'!$K$13</f>
        <v>9.1666666666666679</v>
      </c>
      <c r="K91" s="2">
        <f>IF($J$91&lt;$O$9,0,'Obliczenia nośności W'!$K$29)</f>
        <v>1.6958333333333335</v>
      </c>
      <c r="L91" s="2">
        <f>SMALL(K84:K100,8)</f>
        <v>1.5416666666666667</v>
      </c>
      <c r="M91">
        <f>INDEX(I84:I100,MATCH(L91,K84:K100,))</f>
        <v>7</v>
      </c>
      <c r="N91" s="18">
        <f>INDEX(J84:J100,MATCH(L91,K84:K100,))</f>
        <v>8.3333333333333339</v>
      </c>
      <c r="P91">
        <v>8</v>
      </c>
      <c r="Q91" s="2">
        <f>'Obliczenia nośności H'!$K$27</f>
        <v>11.458333333333334</v>
      </c>
      <c r="R91" s="2">
        <f>IF($Q$91&lt;$O$9,0,'Obliczenia nośności H'!$K$43)</f>
        <v>3.265625</v>
      </c>
      <c r="S91" s="2">
        <f>SMALL(R84:R103,8)</f>
        <v>2.375</v>
      </c>
      <c r="T91">
        <f>INDEX(P84:P103,MATCH(S91,R84:R103,))</f>
        <v>5</v>
      </c>
      <c r="U91" s="18">
        <f>INDEX(Q84:Q103,MATCH(S91,R84:R103,))</f>
        <v>8.3333333333333339</v>
      </c>
    </row>
    <row r="92" spans="2:21" x14ac:dyDescent="0.25">
      <c r="B92">
        <v>9</v>
      </c>
      <c r="C92" s="2">
        <f>'Obliczenia nośności T'!$L$13</f>
        <v>12</v>
      </c>
      <c r="D92" s="2">
        <f>IF($C$92&lt;$O$9,0,'Obliczenia nośności T'!$L$29)</f>
        <v>3.6</v>
      </c>
      <c r="E92" s="2">
        <f>SMALL(D84:D100,9)</f>
        <v>3.2800000000000002</v>
      </c>
      <c r="F92">
        <f>INDEX(B84:B100,MATCH(E92,D84:D100,))</f>
        <v>8</v>
      </c>
      <c r="G92" s="18">
        <f>INDEX(C84:C100,MATCH(E92,D84:D100,))</f>
        <v>11</v>
      </c>
      <c r="I92">
        <v>9</v>
      </c>
      <c r="J92" s="2">
        <f>'Obliczenia nośności W'!$L$13</f>
        <v>10</v>
      </c>
      <c r="K92" s="2">
        <f>IF($J$92&lt;$O$9,0,'Obliczenia nośności W'!$L$29)</f>
        <v>1.85</v>
      </c>
      <c r="L92" s="2">
        <f>SMALL(K84:K100,9)</f>
        <v>1.6958333333333335</v>
      </c>
      <c r="M92">
        <f>INDEX(I84:I100,MATCH(L92,K84:K100,))</f>
        <v>8</v>
      </c>
      <c r="N92" s="18">
        <f>INDEX(J84:J100,MATCH(L92,K84:K100,))</f>
        <v>9.1666666666666679</v>
      </c>
      <c r="P92">
        <v>9</v>
      </c>
      <c r="Q92" s="2">
        <f>'Obliczenia nośności H'!$L$27</f>
        <v>12.5</v>
      </c>
      <c r="R92" s="2">
        <f>IF($Q$92&lt;$O$9,0,'Obliczenia nośności H'!$L$43)</f>
        <v>3.5625</v>
      </c>
      <c r="S92" s="2">
        <f>SMALL(R84:R103,9)</f>
        <v>2.671875</v>
      </c>
      <c r="T92">
        <f>INDEX(P84:P103,MATCH(S92,R84:R103,))</f>
        <v>6</v>
      </c>
      <c r="U92" s="18">
        <f>INDEX(Q84:Q103,MATCH(S92,R84:R103,))</f>
        <v>9.375</v>
      </c>
    </row>
    <row r="93" spans="2:21" x14ac:dyDescent="0.25">
      <c r="B93">
        <v>10</v>
      </c>
      <c r="C93" s="2">
        <f>'Obliczenia nośności T'!$M$13</f>
        <v>12</v>
      </c>
      <c r="D93" s="2">
        <f>IF($C$93&lt;$O$9,0,'Obliczenia nośności T'!$M$29)</f>
        <v>3.48</v>
      </c>
      <c r="E93" s="2">
        <f>SMALL(D84:D100,10)</f>
        <v>3.48</v>
      </c>
      <c r="F93">
        <f>INDEX(B84:B100,MATCH(E93,D84:D100,))</f>
        <v>10</v>
      </c>
      <c r="G93" s="18">
        <f>INDEX(C84:C100,MATCH(E93,D84:D100,))</f>
        <v>12</v>
      </c>
      <c r="I93">
        <v>10</v>
      </c>
      <c r="J93" s="2">
        <f>'Obliczenia nośności W'!$M$13</f>
        <v>10.833333333333334</v>
      </c>
      <c r="K93" s="2">
        <f>IF($J$93&lt;$O$9,0,'Obliczenia nośności W'!$M$29)</f>
        <v>2.0208333333333335</v>
      </c>
      <c r="L93" s="2">
        <f>SMALL(K84:K100,10)</f>
        <v>1.85</v>
      </c>
      <c r="M93">
        <f>INDEX(I84:I100,MATCH(L93,K84:K100,))</f>
        <v>9</v>
      </c>
      <c r="N93" s="18">
        <f>INDEX(J84:J100,MATCH(L93,K84:K100,))</f>
        <v>10</v>
      </c>
      <c r="P93">
        <v>10</v>
      </c>
      <c r="Q93" s="2">
        <f>'Obliczenia nośności H'!$M$27</f>
        <v>13.541666666666668</v>
      </c>
      <c r="R93" s="2">
        <f>IF($Q$93&lt;$O$9,0,'Obliczenia nośności H'!$M$43)</f>
        <v>3.8593749999999996</v>
      </c>
      <c r="S93" s="2">
        <f>SMALL(R84:R103,10)</f>
        <v>2.96875</v>
      </c>
      <c r="T93">
        <f>INDEX(P84:P103,MATCH(S93,R84:R103,))</f>
        <v>7</v>
      </c>
      <c r="U93" s="18">
        <f>INDEX(Q84:Q103,MATCH(S93,R84:R103,))</f>
        <v>10.416666666666668</v>
      </c>
    </row>
    <row r="94" spans="2:21" x14ac:dyDescent="0.25">
      <c r="B94">
        <v>11</v>
      </c>
      <c r="C94" s="2">
        <f>'Obliczenia nośności T'!$N$13</f>
        <v>13</v>
      </c>
      <c r="D94" s="2">
        <f>IF($C$94&lt;$O$9,0,'Obliczenia nośności T'!$N$29)</f>
        <v>3.92</v>
      </c>
      <c r="E94" s="2">
        <f>SMALL(D84:D100,11)</f>
        <v>3.6</v>
      </c>
      <c r="F94">
        <f>INDEX(B84:B100,MATCH(E94,D84:D100,))</f>
        <v>9</v>
      </c>
      <c r="G94" s="18">
        <f>INDEX(C84:C100,MATCH(E94,D84:D100,))</f>
        <v>12</v>
      </c>
      <c r="I94">
        <v>11</v>
      </c>
      <c r="J94" s="2">
        <f>'Obliczenia nośności W'!$N$13</f>
        <v>11.666666666666668</v>
      </c>
      <c r="K94" s="2">
        <f>IF($J$94&lt;$O$9,0,'Obliczenia nośności W'!$N$29)</f>
        <v>2.1916666666666669</v>
      </c>
      <c r="L94" s="2">
        <f>SMALL(K84:K100,11)</f>
        <v>2.0208333333333335</v>
      </c>
      <c r="M94">
        <f>INDEX(I84:I100,MATCH(L94,K84:K100,))</f>
        <v>10</v>
      </c>
      <c r="N94" s="18">
        <f>INDEX(J84:J100,MATCH(L94,K84:K100,))</f>
        <v>10.833333333333334</v>
      </c>
      <c r="P94">
        <v>11</v>
      </c>
      <c r="Q94" s="2">
        <f>'Obliczenia nośności H'!$N$27</f>
        <v>14.583333333333334</v>
      </c>
      <c r="R94" s="2">
        <f>IF($Q$94&lt;$O$9,0,'Obliczenia nośności H'!$N$43)</f>
        <v>4.15625</v>
      </c>
      <c r="S94" s="2">
        <f>SMALL(R84:R103,11)</f>
        <v>2.96875</v>
      </c>
      <c r="T94">
        <f>INDEX(P84:P103,MATCH(S94,R84:R103,))</f>
        <v>7</v>
      </c>
      <c r="U94" s="18">
        <f>INDEX(Q84:Q103,MATCH(S94,R84:R103,))</f>
        <v>10.416666666666668</v>
      </c>
    </row>
    <row r="95" spans="2:21" x14ac:dyDescent="0.25">
      <c r="B95">
        <v>12</v>
      </c>
      <c r="C95" s="2">
        <f>'Obliczenia nośności T'!$O$13</f>
        <v>13</v>
      </c>
      <c r="D95" s="2">
        <f>IF($C$95&lt;$O$9,0,'Obliczenia nośności T'!$O$29)</f>
        <v>3.8000000000000003</v>
      </c>
      <c r="E95" s="2">
        <f>SMALL(D84:D100,12)</f>
        <v>3.8000000000000003</v>
      </c>
      <c r="F95">
        <f>INDEX(B84:B100,MATCH(E95,D84:D100,))</f>
        <v>12</v>
      </c>
      <c r="G95" s="18">
        <f>INDEX(C84:C100,MATCH(E95,D84:D100,))</f>
        <v>13</v>
      </c>
      <c r="I95">
        <v>12</v>
      </c>
      <c r="J95" s="2">
        <f>'Obliczenia nośności W'!$O$13</f>
        <v>12.5</v>
      </c>
      <c r="K95" s="2">
        <f>IF($J$95&lt;$O$9,0,'Obliczenia nośności W'!$O$29)</f>
        <v>2.3624999999999998</v>
      </c>
      <c r="L95" s="2">
        <f>SMALL(K84:K100,12)</f>
        <v>2.1916666666666669</v>
      </c>
      <c r="M95">
        <f>INDEX(I84:I100,MATCH(L95,K84:K100,))</f>
        <v>11</v>
      </c>
      <c r="N95" s="18">
        <f>INDEX(J84:J100,MATCH(L95,K84:K100,))</f>
        <v>11.666666666666668</v>
      </c>
      <c r="P95">
        <v>12</v>
      </c>
      <c r="Q95" s="2">
        <f>'Obliczenia nośności H'!$O$27</f>
        <v>15.625</v>
      </c>
      <c r="R95" s="2">
        <f>IF($Q$95&lt;$O$9,0,'Obliczenia nośności H'!$O$43)</f>
        <v>4.453125</v>
      </c>
      <c r="S95" s="2">
        <f>SMALL(R84:R103,12)</f>
        <v>3.265625</v>
      </c>
      <c r="T95">
        <f>INDEX(P84:P103,MATCH(S95,R84:R103,))</f>
        <v>8</v>
      </c>
      <c r="U95" s="18">
        <f>INDEX(Q84:Q103,MATCH(S95,R84:R103,))</f>
        <v>11.458333333333334</v>
      </c>
    </row>
    <row r="96" spans="2:21" x14ac:dyDescent="0.25">
      <c r="B96">
        <v>13</v>
      </c>
      <c r="C96" s="2">
        <f>'Obliczenia nośności T'!$P$13</f>
        <v>14</v>
      </c>
      <c r="D96" s="2">
        <f>IF($C$96&lt;$O$9,0,'Obliczenia nośności T'!$P$29)</f>
        <v>4.24</v>
      </c>
      <c r="E96" s="2">
        <f>SMALL(D84:D100,13)</f>
        <v>3.92</v>
      </c>
      <c r="F96">
        <f>INDEX(B84:B100,MATCH(E96,D84:D100,))</f>
        <v>11</v>
      </c>
      <c r="G96" s="18">
        <f>INDEX(C84:C100,MATCH(E96,D84:D100,))</f>
        <v>13</v>
      </c>
      <c r="I96">
        <v>13</v>
      </c>
      <c r="J96" s="2">
        <f>'Obliczenia nośności W'!$P$13</f>
        <v>13.333333333333334</v>
      </c>
      <c r="K96" s="2">
        <f>IF($J$96&lt;$O$9,0,'Obliczenia nośności W'!$P$29)</f>
        <v>2.5333333333333332</v>
      </c>
      <c r="L96" s="2">
        <f>SMALL(K84:K100,13)</f>
        <v>2.3624999999999998</v>
      </c>
      <c r="M96">
        <f>INDEX(I84:I100,MATCH(L96,K84:K100,))</f>
        <v>12</v>
      </c>
      <c r="N96" s="18">
        <f>INDEX(J84:J100,MATCH(L96,K84:K100,))</f>
        <v>12.5</v>
      </c>
      <c r="P96">
        <v>13</v>
      </c>
      <c r="Q96" s="2">
        <f>'Obliczenia nośności H'!$P$27</f>
        <v>4.166666666666667</v>
      </c>
      <c r="R96" s="2">
        <f>IF($Q$96&lt;$O$9,0,'Obliczenia nośności H'!$P$43)</f>
        <v>0</v>
      </c>
      <c r="S96" s="2">
        <f>SMALL(R84:R103,13)</f>
        <v>3.5624999999999996</v>
      </c>
      <c r="T96">
        <f>INDEX(P84:P103,MATCH(S96,R84:R103,))</f>
        <v>17</v>
      </c>
      <c r="U96" s="18">
        <f>INDEX(Q84:Q103,MATCH(S96,R84:R103,))</f>
        <v>12.5</v>
      </c>
    </row>
    <row r="97" spans="2:21" x14ac:dyDescent="0.25">
      <c r="B97">
        <v>14</v>
      </c>
      <c r="C97" s="2">
        <f>'Obliczenia nośności T'!$Q$13</f>
        <v>14</v>
      </c>
      <c r="D97" s="2">
        <f>IF($C$97&lt;$O$9,0,'Obliczenia nośności T'!$Q$29)</f>
        <v>4.12</v>
      </c>
      <c r="E97" s="2">
        <f>SMALL(D84:D100,14)</f>
        <v>4.12</v>
      </c>
      <c r="F97">
        <f>INDEX(B84:B100,MATCH(E97,D84:D100,))</f>
        <v>14</v>
      </c>
      <c r="G97" s="18">
        <f>INDEX(C84:C100,MATCH(E97,D84:D100,))</f>
        <v>14</v>
      </c>
      <c r="I97">
        <v>14</v>
      </c>
      <c r="J97" s="2">
        <f>'Obliczenia nośności W'!$Q$13</f>
        <v>3.3333333333333335</v>
      </c>
      <c r="K97" s="2">
        <f>IF($J$97&lt;$O$9,0,'Obliczenia nośności W'!$Q$29)</f>
        <v>0</v>
      </c>
      <c r="L97" s="2">
        <f>SMALL(K84:K100,14)</f>
        <v>2.5333333333333332</v>
      </c>
      <c r="M97">
        <f>INDEX(I84:I100,MATCH(L97,K84:K100,))</f>
        <v>13</v>
      </c>
      <c r="N97" s="18">
        <f>INDEX(J84:J100,MATCH(L97,K84:K100,))</f>
        <v>13.333333333333334</v>
      </c>
      <c r="P97">
        <v>14</v>
      </c>
      <c r="Q97" s="2">
        <f>'Obliczenia nośności H'!$Q$27</f>
        <v>6.25</v>
      </c>
      <c r="R97" s="2">
        <f>IF($Q$97&lt;$O$9,0,'Obliczenia nośności H'!$Q$43)</f>
        <v>1.7812499999999998</v>
      </c>
      <c r="S97" s="2">
        <f>SMALL(R84:R103,14)</f>
        <v>3.5625</v>
      </c>
      <c r="T97">
        <f>INDEX(P84:P103,MATCH(S97,R84:R103,))</f>
        <v>9</v>
      </c>
      <c r="U97" s="18">
        <f>INDEX(Q84:Q103,MATCH(S97,R84:R103,))</f>
        <v>12.5</v>
      </c>
    </row>
    <row r="98" spans="2:21" x14ac:dyDescent="0.25">
      <c r="B98">
        <v>15</v>
      </c>
      <c r="C98" s="2">
        <f>'Obliczenia nośności T'!$R$13</f>
        <v>15</v>
      </c>
      <c r="D98" s="2">
        <f>IF($C$98&lt;$O$9,0,'Obliczenia nośności T'!$R$29)</f>
        <v>4.4399999999999995</v>
      </c>
      <c r="E98" s="2">
        <f>SMALL(D84:D100,15)</f>
        <v>4.24</v>
      </c>
      <c r="F98">
        <f>INDEX(B84:B100,MATCH(E98,D84:D100,))</f>
        <v>13</v>
      </c>
      <c r="G98" s="18">
        <f>INDEX(C84:C100,MATCH(E98,D84:D100,))</f>
        <v>14</v>
      </c>
      <c r="J98" s="2"/>
      <c r="K98" s="2"/>
      <c r="L98" s="2"/>
      <c r="N98" s="18"/>
      <c r="P98">
        <v>15</v>
      </c>
      <c r="Q98" s="2">
        <f>'Obliczenia nośności H'!$R$27</f>
        <v>8.3333333333333339</v>
      </c>
      <c r="R98" s="2">
        <f>IF($Q$98&lt;$O$9,0,'Obliczenia nośności H'!$R$43)</f>
        <v>2.375</v>
      </c>
      <c r="S98" s="2">
        <f>SMALL(R84:R103,15)</f>
        <v>3.8593749999999996</v>
      </c>
      <c r="T98">
        <f>INDEX(P84:P103,MATCH(S98,R84:R103,))</f>
        <v>10</v>
      </c>
      <c r="U98" s="18">
        <f>INDEX(Q84:Q103,MATCH(S98,R84:R103,))</f>
        <v>13.541666666666668</v>
      </c>
    </row>
    <row r="99" spans="2:21" x14ac:dyDescent="0.25">
      <c r="B99">
        <v>16</v>
      </c>
      <c r="C99" s="2">
        <f>'Obliczenia nośności T'!$S$13</f>
        <v>16</v>
      </c>
      <c r="D99" s="2">
        <f>IF($C$99&lt;$O$9,0,'Obliczenia nośności T'!$S$29)</f>
        <v>4.76</v>
      </c>
      <c r="E99" s="2">
        <f>SMALL(D84:D100,16)</f>
        <v>4.4399999999999995</v>
      </c>
      <c r="F99">
        <f>INDEX(B84:B100,MATCH(E99,D84:D100,))</f>
        <v>15</v>
      </c>
      <c r="G99" s="18">
        <f>INDEX(C84:C100,MATCH(E99,D84:D100,))</f>
        <v>15</v>
      </c>
      <c r="J99" s="2"/>
      <c r="K99" s="2"/>
      <c r="L99" s="2"/>
      <c r="N99" s="18"/>
      <c r="P99">
        <v>16</v>
      </c>
      <c r="Q99" s="2">
        <f>'Obliczenia nośności H'!$S$27</f>
        <v>10.416666666666668</v>
      </c>
      <c r="R99" s="2">
        <f>IF($Q$99&lt;$O$9,0,'Obliczenia nośności H'!$S$43)</f>
        <v>2.96875</v>
      </c>
      <c r="S99" s="2">
        <f>SMALL(R84:R103,16)</f>
        <v>4.15625</v>
      </c>
      <c r="T99">
        <f>INDEX(P84:P103,MATCH(S99,R84:R103,))</f>
        <v>11</v>
      </c>
      <c r="U99" s="18">
        <f>INDEX(Q84:Q103,MATCH(S99,R84:R103,))</f>
        <v>14.583333333333334</v>
      </c>
    </row>
    <row r="100" spans="2:21" x14ac:dyDescent="0.25">
      <c r="B100">
        <v>17</v>
      </c>
      <c r="C100" s="2">
        <f>'Obliczenia nośności T'!$T$13</f>
        <v>10</v>
      </c>
      <c r="D100" s="2">
        <f>IF($C$100&lt;$O$9,0,'Obliczenia nośności T'!$T$29)</f>
        <v>2.84</v>
      </c>
      <c r="E100" s="2">
        <f>SMALL(D84:D100,17)</f>
        <v>4.76</v>
      </c>
      <c r="F100">
        <f>INDEX(B84:B100,MATCH(E100,D84:D100,))</f>
        <v>16</v>
      </c>
      <c r="G100" s="18">
        <f>INDEX(C84:C100,MATCH(E100,D84:D100,))</f>
        <v>16</v>
      </c>
      <c r="J100" s="2"/>
      <c r="K100" s="2"/>
      <c r="L100" s="2"/>
      <c r="N100" s="18"/>
      <c r="P100">
        <v>17</v>
      </c>
      <c r="Q100" s="2">
        <f>'Obliczenia nośności H'!$T$27</f>
        <v>12.5</v>
      </c>
      <c r="R100" s="2">
        <f>IF($Q$100&lt;$O$9,0,'Obliczenia nośności H'!$T$43)</f>
        <v>3.5624999999999996</v>
      </c>
      <c r="S100" s="2">
        <f>SMALL(R84:R103,17)</f>
        <v>4.15625</v>
      </c>
      <c r="T100">
        <f>INDEX(P84:P103,MATCH(S100,R84:R103,))</f>
        <v>11</v>
      </c>
      <c r="U100" s="18">
        <f>INDEX(Q84:Q103,MATCH(S100,R84:R103,))</f>
        <v>14.583333333333334</v>
      </c>
    </row>
    <row r="101" spans="2:21" x14ac:dyDescent="0.25">
      <c r="P101">
        <v>18</v>
      </c>
      <c r="Q101" s="2">
        <f>'Obliczenia nośności H'!$U$27</f>
        <v>14.583333333333334</v>
      </c>
      <c r="R101" s="2">
        <f>IF($Q$101&lt;$O$9,0,'Obliczenia nośności H'!$U$43)</f>
        <v>4.15625</v>
      </c>
      <c r="S101" s="2">
        <f>SMALL(R84:R103,18)</f>
        <v>4.453125</v>
      </c>
      <c r="T101">
        <f>INDEX(P84:P103,MATCH(S101,R84:R103,))</f>
        <v>12</v>
      </c>
      <c r="U101" s="18">
        <f>INDEX(Q84:Q103,MATCH(S101,R84:R103,))</f>
        <v>15.625</v>
      </c>
    </row>
    <row r="102" spans="2:21" x14ac:dyDescent="0.25">
      <c r="P102">
        <v>19</v>
      </c>
      <c r="Q102" s="2">
        <f>'Obliczenia nośności H'!$V$27</f>
        <v>16.666666666666668</v>
      </c>
      <c r="R102" s="2">
        <f>IF($Q$102&lt;$O$9,0,'Obliczenia nośności H'!$V$43)</f>
        <v>4.75</v>
      </c>
      <c r="S102" s="2">
        <f>SMALL(R84:R103,19)</f>
        <v>4.75</v>
      </c>
      <c r="T102">
        <f>INDEX(P84:P103,MATCH(S102,R84:R103,))</f>
        <v>19</v>
      </c>
      <c r="U102" s="18">
        <f>INDEX(Q84:Q103,MATCH(S102,R84:R103,))</f>
        <v>16.666666666666668</v>
      </c>
    </row>
    <row r="103" spans="2:21" x14ac:dyDescent="0.25">
      <c r="P103">
        <v>20</v>
      </c>
      <c r="Q103" s="2">
        <f>'Obliczenia nośności H'!$W$27</f>
        <v>20.833333333333336</v>
      </c>
      <c r="R103" s="2">
        <f>IF($Q$103&lt;$O$9,0,'Obliczenia nośności H'!$W$43)</f>
        <v>5.9375</v>
      </c>
      <c r="S103" s="2">
        <f>SMALL(R84:R103,20)</f>
        <v>5.9375</v>
      </c>
      <c r="T103">
        <f>INDEX(P84:P103,MATCH(S103,R84:R103,))</f>
        <v>20</v>
      </c>
      <c r="U103" s="18">
        <f>INDEX(Q84:Q103,MATCH(S103,R84:R103,))</f>
        <v>20.833333333333336</v>
      </c>
    </row>
    <row r="104" spans="2:21" x14ac:dyDescent="0.25">
      <c r="L104" s="16"/>
    </row>
  </sheetData>
  <sheetProtection algorithmName="SHA-512" hashValue="sm7tssNmZTgurUfYzc8U9bdnSkTf+8IXvWmb8QYEJsUwGUeYBxDB3aaKjKFSRYrkorrkpb4gT1x3Z6s6/jHqKg==" saltValue="7cNduZ36xZmVGAirbkXKGw==" spinCount="100000" sheet="1" objects="1" scenarios="1"/>
  <mergeCells count="93">
    <mergeCell ref="I10:N10"/>
    <mergeCell ref="B2:V3"/>
    <mergeCell ref="B4:V4"/>
    <mergeCell ref="B6:V6"/>
    <mergeCell ref="I8:N8"/>
    <mergeCell ref="I9:N9"/>
    <mergeCell ref="J12:N14"/>
    <mergeCell ref="I15:I18"/>
    <mergeCell ref="J15:J18"/>
    <mergeCell ref="K15:K18"/>
    <mergeCell ref="L15:L18"/>
    <mergeCell ref="M15:M18"/>
    <mergeCell ref="N15:N18"/>
    <mergeCell ref="O19:O20"/>
    <mergeCell ref="I21:I23"/>
    <mergeCell ref="J21:J23"/>
    <mergeCell ref="K21:K23"/>
    <mergeCell ref="L21:L23"/>
    <mergeCell ref="M21:M23"/>
    <mergeCell ref="N21:N23"/>
    <mergeCell ref="O21:O23"/>
    <mergeCell ref="I19:I20"/>
    <mergeCell ref="J19:J20"/>
    <mergeCell ref="K19:K20"/>
    <mergeCell ref="L19:L20"/>
    <mergeCell ref="M19:M20"/>
    <mergeCell ref="N19:N20"/>
    <mergeCell ref="E24:E43"/>
    <mergeCell ref="F24:F43"/>
    <mergeCell ref="G24:G27"/>
    <mergeCell ref="H24:H27"/>
    <mergeCell ref="I24:I27"/>
    <mergeCell ref="G36:G39"/>
    <mergeCell ref="H36:H39"/>
    <mergeCell ref="I36:I39"/>
    <mergeCell ref="G32:G35"/>
    <mergeCell ref="H32:H35"/>
    <mergeCell ref="I32:I35"/>
    <mergeCell ref="G28:G31"/>
    <mergeCell ref="H28:H31"/>
    <mergeCell ref="I28:I31"/>
    <mergeCell ref="G40:G43"/>
    <mergeCell ref="H40:H43"/>
    <mergeCell ref="Q24:Q27"/>
    <mergeCell ref="R24:R43"/>
    <mergeCell ref="J25:J26"/>
    <mergeCell ref="K25:K42"/>
    <mergeCell ref="O28:O31"/>
    <mergeCell ref="O24:O27"/>
    <mergeCell ref="N33:N34"/>
    <mergeCell ref="Q28:Q31"/>
    <mergeCell ref="J29:J30"/>
    <mergeCell ref="O32:O35"/>
    <mergeCell ref="Q32:Q35"/>
    <mergeCell ref="J33:J34"/>
    <mergeCell ref="L33:L34"/>
    <mergeCell ref="O36:O39"/>
    <mergeCell ref="Q36:Q39"/>
    <mergeCell ref="J37:J38"/>
    <mergeCell ref="I40:I43"/>
    <mergeCell ref="O40:O43"/>
    <mergeCell ref="Q40:Q43"/>
    <mergeCell ref="J41:J42"/>
    <mergeCell ref="M44:M46"/>
    <mergeCell ref="N44:N46"/>
    <mergeCell ref="B81:G81"/>
    <mergeCell ref="I81:N81"/>
    <mergeCell ref="I49:I52"/>
    <mergeCell ref="J49:J52"/>
    <mergeCell ref="K49:K52"/>
    <mergeCell ref="L49:L52"/>
    <mergeCell ref="M49:M52"/>
    <mergeCell ref="N49:N52"/>
    <mergeCell ref="I47:I48"/>
    <mergeCell ref="I44:I46"/>
    <mergeCell ref="J44:J46"/>
    <mergeCell ref="K44:K46"/>
    <mergeCell ref="L44:L46"/>
    <mergeCell ref="J47:J48"/>
    <mergeCell ref="K47:K48"/>
    <mergeCell ref="L47:L48"/>
    <mergeCell ref="P81:U81"/>
    <mergeCell ref="J53:N55"/>
    <mergeCell ref="J56:N58"/>
    <mergeCell ref="J61:N61"/>
    <mergeCell ref="J72:N72"/>
    <mergeCell ref="M47:M48"/>
    <mergeCell ref="N47:N48"/>
    <mergeCell ref="P24:P27"/>
    <mergeCell ref="P28:P31"/>
    <mergeCell ref="P32:P35"/>
    <mergeCell ref="P36:P39"/>
    <mergeCell ref="P40:P43"/>
  </mergeCells>
  <conditionalFormatting sqref="J21:N21 O24 J44:N44 I24 I28 I32 I36 I40 O28 O32 O36 O40">
    <cfRule type="colorScale" priority="2">
      <colorScale>
        <cfvo type="min"/>
        <cfvo type="max"/>
        <color rgb="FFFFFF00"/>
        <color rgb="FFFF0000"/>
      </colorScale>
    </cfRule>
  </conditionalFormatting>
  <conditionalFormatting sqref="J19:N19 P24 J47:N47 H24 H28 H32 H36 H40 P28 P32 P36 P40">
    <cfRule type="colorScale" priority="1">
      <colorScale>
        <cfvo type="min"/>
        <cfvo type="max"/>
        <color rgb="FF29C7FF"/>
        <color rgb="FF00B050"/>
      </colorScale>
    </cfRule>
  </conditionalFormatting>
  <pageMargins left="0.7" right="0.7" top="0.75" bottom="0.75" header="0.3" footer="0.3"/>
  <pageSetup paperSize="9" orientation="portrait" horizontalDpi="1200" verticalDpi="1200" r:id="rId1"/>
  <ignoredErrors>
    <ignoredError sqref="L75:L77 L79:M79 M75:M77"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V104"/>
  <sheetViews>
    <sheetView zoomScaleNormal="100" workbookViewId="0">
      <selection activeCell="B2" sqref="B2:V3"/>
    </sheetView>
  </sheetViews>
  <sheetFormatPr defaultRowHeight="15" x14ac:dyDescent="0.25"/>
  <sheetData>
    <row r="2" spans="2:22" x14ac:dyDescent="0.25">
      <c r="B2" s="226" t="s">
        <v>305</v>
      </c>
      <c r="C2" s="226"/>
      <c r="D2" s="226"/>
      <c r="E2" s="226"/>
      <c r="F2" s="226"/>
      <c r="G2" s="226"/>
      <c r="H2" s="226"/>
      <c r="I2" s="226"/>
      <c r="J2" s="226"/>
      <c r="K2" s="226"/>
      <c r="L2" s="226"/>
      <c r="M2" s="226"/>
      <c r="N2" s="226"/>
      <c r="O2" s="226"/>
      <c r="P2" s="226"/>
      <c r="Q2" s="226"/>
      <c r="R2" s="226"/>
      <c r="S2" s="226"/>
      <c r="T2" s="226"/>
      <c r="U2" s="226"/>
      <c r="V2" s="226"/>
    </row>
    <row r="3" spans="2:22" x14ac:dyDescent="0.25">
      <c r="B3" s="226"/>
      <c r="C3" s="226"/>
      <c r="D3" s="226"/>
      <c r="E3" s="226"/>
      <c r="F3" s="226"/>
      <c r="G3" s="226"/>
      <c r="H3" s="226"/>
      <c r="I3" s="226"/>
      <c r="J3" s="226"/>
      <c r="K3" s="226"/>
      <c r="L3" s="226"/>
      <c r="M3" s="226"/>
      <c r="N3" s="226"/>
      <c r="O3" s="226"/>
      <c r="P3" s="226"/>
      <c r="Q3" s="226"/>
      <c r="R3" s="226"/>
      <c r="S3" s="226"/>
      <c r="T3" s="226"/>
      <c r="U3" s="226"/>
      <c r="V3" s="226"/>
    </row>
    <row r="4" spans="2:22" x14ac:dyDescent="0.25">
      <c r="B4" s="307" t="s">
        <v>254</v>
      </c>
      <c r="C4" s="307"/>
      <c r="D4" s="307"/>
      <c r="E4" s="307"/>
      <c r="F4" s="307"/>
      <c r="G4" s="307"/>
      <c r="H4" s="307"/>
      <c r="I4" s="307"/>
      <c r="J4" s="307"/>
      <c r="K4" s="307"/>
      <c r="L4" s="307"/>
      <c r="M4" s="307"/>
      <c r="N4" s="307"/>
      <c r="O4" s="307"/>
      <c r="P4" s="307"/>
      <c r="Q4" s="307"/>
      <c r="R4" s="307"/>
      <c r="S4" s="307"/>
      <c r="T4" s="307"/>
      <c r="U4" s="307"/>
      <c r="V4" s="307"/>
    </row>
    <row r="6" spans="2:22" x14ac:dyDescent="0.25">
      <c r="B6" s="247" t="s">
        <v>95</v>
      </c>
      <c r="C6" s="248"/>
      <c r="D6" s="248"/>
      <c r="E6" s="248"/>
      <c r="F6" s="248"/>
      <c r="G6" s="248"/>
      <c r="H6" s="248"/>
      <c r="I6" s="248"/>
      <c r="J6" s="248"/>
      <c r="K6" s="248"/>
      <c r="L6" s="248"/>
      <c r="M6" s="248"/>
      <c r="N6" s="248"/>
      <c r="O6" s="248"/>
      <c r="P6" s="248"/>
      <c r="Q6" s="248"/>
      <c r="R6" s="248"/>
      <c r="S6" s="248"/>
      <c r="T6" s="248"/>
      <c r="U6" s="248"/>
      <c r="V6" s="248"/>
    </row>
    <row r="7" spans="2:22" x14ac:dyDescent="0.25">
      <c r="B7" s="167"/>
      <c r="C7" s="168"/>
      <c r="D7" s="168"/>
      <c r="E7" s="168"/>
      <c r="F7" s="168"/>
      <c r="G7" s="168"/>
      <c r="H7" s="168"/>
      <c r="I7" s="168"/>
      <c r="J7" s="168"/>
      <c r="K7" s="168"/>
      <c r="L7" s="168"/>
      <c r="M7" s="168"/>
      <c r="N7" s="168"/>
      <c r="O7" s="168"/>
      <c r="P7" s="168"/>
      <c r="Q7" s="168"/>
      <c r="R7" s="168"/>
      <c r="S7" s="168"/>
      <c r="T7" s="168"/>
      <c r="U7" s="168"/>
      <c r="V7" s="168"/>
    </row>
    <row r="8" spans="2:22" x14ac:dyDescent="0.25">
      <c r="I8" s="306" t="s">
        <v>291</v>
      </c>
      <c r="J8" s="306"/>
      <c r="K8" s="306"/>
      <c r="L8" s="306"/>
      <c r="M8" s="306"/>
      <c r="N8" s="306"/>
      <c r="O8" s="170" t="str">
        <f>'Łączniki wiatr II'!O8</f>
        <v>T</v>
      </c>
    </row>
    <row r="9" spans="2:22" x14ac:dyDescent="0.25">
      <c r="I9" s="306" t="s">
        <v>290</v>
      </c>
      <c r="J9" s="306"/>
      <c r="K9" s="306"/>
      <c r="L9" s="306"/>
      <c r="M9" s="306"/>
      <c r="N9" s="306"/>
      <c r="O9" s="173">
        <f>'Łączniki wiatr II'!O9</f>
        <v>5</v>
      </c>
    </row>
    <row r="10" spans="2:22" x14ac:dyDescent="0.25">
      <c r="I10" s="306" t="s">
        <v>292</v>
      </c>
      <c r="J10" s="306"/>
      <c r="K10" s="306"/>
      <c r="L10" s="306"/>
      <c r="M10" s="306"/>
      <c r="N10" s="306"/>
      <c r="O10" s="171">
        <f>'Przemieszczenia wiatr II'!P10</f>
        <v>0.33300000000000002</v>
      </c>
    </row>
    <row r="11" spans="2:22" x14ac:dyDescent="0.25">
      <c r="B11" s="167"/>
      <c r="C11" s="168"/>
      <c r="D11" s="168"/>
      <c r="E11" s="168"/>
      <c r="F11" s="168"/>
      <c r="G11" s="168"/>
      <c r="H11" s="168"/>
      <c r="I11" s="168"/>
      <c r="J11" s="168"/>
      <c r="K11" s="168"/>
      <c r="L11" s="168"/>
      <c r="M11" s="168"/>
      <c r="N11" s="168"/>
      <c r="O11" s="168"/>
      <c r="P11" s="168"/>
      <c r="Q11" s="168"/>
      <c r="R11" s="168"/>
      <c r="S11" s="168"/>
      <c r="T11" s="168"/>
      <c r="U11" s="168"/>
      <c r="V11" s="168"/>
    </row>
    <row r="12" spans="2:22" x14ac:dyDescent="0.25">
      <c r="B12" s="167"/>
      <c r="C12" s="168"/>
      <c r="D12" s="168"/>
      <c r="E12" s="168"/>
      <c r="F12" s="168"/>
      <c r="G12" s="168"/>
      <c r="H12" s="168"/>
      <c r="I12" s="168"/>
      <c r="J12" s="245" t="str">
        <f>"Wysokość  ze = "&amp;TEXT('Obliczenia wiatr II'!E42,"####0,0##")&amp;" m"</f>
        <v>Wysokość  ze = 25,0 m</v>
      </c>
      <c r="K12" s="245"/>
      <c r="L12" s="245"/>
      <c r="M12" s="245"/>
      <c r="N12" s="245"/>
      <c r="O12" s="168"/>
      <c r="P12" s="168"/>
      <c r="Q12" s="168"/>
      <c r="R12" s="168"/>
      <c r="S12" s="168"/>
      <c r="T12" s="168"/>
      <c r="U12" s="168"/>
      <c r="V12" s="168"/>
    </row>
    <row r="13" spans="2:22" x14ac:dyDescent="0.25">
      <c r="B13" s="167"/>
      <c r="C13" s="168"/>
      <c r="D13" s="168"/>
      <c r="E13" s="168"/>
      <c r="F13" s="168"/>
      <c r="G13" s="168"/>
      <c r="H13" s="168"/>
      <c r="I13" s="168"/>
      <c r="J13" s="245"/>
      <c r="K13" s="245"/>
      <c r="L13" s="245"/>
      <c r="M13" s="245"/>
      <c r="N13" s="245"/>
      <c r="O13" s="168"/>
      <c r="P13" s="168"/>
      <c r="Q13" s="168"/>
      <c r="R13" s="168"/>
      <c r="S13" s="168"/>
      <c r="T13" s="168"/>
      <c r="U13" s="168"/>
      <c r="V13" s="168"/>
    </row>
    <row r="14" spans="2:22" x14ac:dyDescent="0.25">
      <c r="J14" s="245"/>
      <c r="K14" s="245"/>
      <c r="L14" s="245"/>
      <c r="M14" s="245"/>
      <c r="N14" s="245"/>
    </row>
    <row r="15" spans="2:22" x14ac:dyDescent="0.25">
      <c r="I15" s="270" t="s">
        <v>180</v>
      </c>
      <c r="J15" s="308">
        <f>'Wyniki graficzne wiatr II'!J11</f>
        <v>5.6</v>
      </c>
      <c r="K15" s="262" t="str">
        <f>'Wyniki graficzne wiatr II'!K11</f>
        <v/>
      </c>
      <c r="L15" s="262">
        <f>'Wyniki graficzne wiatr II'!L11</f>
        <v>4.4000000000000004</v>
      </c>
      <c r="M15" s="262" t="str">
        <f>'Wyniki graficzne wiatr II'!M11</f>
        <v/>
      </c>
      <c r="N15" s="262" t="str">
        <f>'Wyniki graficzne wiatr II'!N11</f>
        <v/>
      </c>
      <c r="O15" s="1"/>
    </row>
    <row r="16" spans="2:22" x14ac:dyDescent="0.25">
      <c r="I16" s="270"/>
      <c r="J16" s="308"/>
      <c r="K16" s="262"/>
      <c r="L16" s="262"/>
      <c r="M16" s="262"/>
      <c r="N16" s="262"/>
      <c r="O16" s="1"/>
    </row>
    <row r="17" spans="5:21" x14ac:dyDescent="0.25">
      <c r="I17" s="270"/>
      <c r="J17" s="308"/>
      <c r="K17" s="262"/>
      <c r="L17" s="262"/>
      <c r="M17" s="262"/>
      <c r="N17" s="262"/>
      <c r="O17" s="1"/>
    </row>
    <row r="18" spans="5:21" x14ac:dyDescent="0.25">
      <c r="I18" s="270"/>
      <c r="J18" s="308"/>
      <c r="K18" s="262"/>
      <c r="L18" s="262"/>
      <c r="M18" s="262"/>
      <c r="N18" s="262"/>
      <c r="O18" s="1"/>
    </row>
    <row r="19" spans="5:21" ht="15" customHeight="1" x14ac:dyDescent="0.25">
      <c r="I19" s="292" t="s">
        <v>264</v>
      </c>
      <c r="J19" s="291">
        <f t="array" ref="J19">IF(O8="T",INDEX(F84:F100,MATCH(TRUE,G84:G100&gt;=J21,0)),IF(O8="W",INDEX(M84:M100,MATCH(TRUE,N84:N100&gt;=J21,0)),IF(O8="H",INDEX(T84:T103,MATCH(TRUE,U84:U103&gt;=J21,0)),0)))</f>
        <v>6</v>
      </c>
      <c r="K19" s="291">
        <f t="array" ref="K19">IF(O8="T",INDEX(F84:F100,MATCH(TRUE,G84:G100&gt;=K21,0)),IF(O8="W",INDEX(M84:M100,MATCH(TRUE,N84:N100&gt;=K21,0)),IF(O8="H",INDEX(T84:T103,MATCH(TRUE,U84:U103&gt;=K21,0)),0)))</f>
        <v>6</v>
      </c>
      <c r="L19" s="291">
        <f t="array" ref="L19">IF(O8="T",INDEX(F84:F100,MATCH(TRUE,G84:G100&gt;=L21,0)),IF(O8="W",INDEX(M84:M100,MATCH(TRUE,N84:N100&gt;=L21,0)),IF(O8="H",INDEX(T84:T103,MATCH(TRUE,U84:U103&gt;=L21,0)),0)))</f>
        <v>4</v>
      </c>
      <c r="M19" s="291">
        <f t="array" ref="M19">IF(O8="T",INDEX(F84:F100,MATCH(TRUE,G84:G100&gt;=M21,0)),IF(O8="W",INDEX(M84:M100,MATCH(TRUE,N84:N100&gt;=M21,0)),IF(O8="H",INDEX(T84:T103,MATCH(TRUE,U84:U103&gt;=M21,0)),0)))</f>
        <v>4</v>
      </c>
      <c r="N19" s="291">
        <f t="array" ref="N19">IF(O8="T",INDEX(F84:F100,MATCH(TRUE,G84:G100&gt;=N21,0)),IF(O8="W",INDEX(M84:M100,MATCH(TRUE,N84:N100&gt;=N21,0)),IF(O8="H",INDEX(T84:T103,MATCH(TRUE,U84:U103&gt;=N21,0)),0)))</f>
        <v>4</v>
      </c>
      <c r="O19" s="270" t="s">
        <v>264</v>
      </c>
    </row>
    <row r="20" spans="5:21" ht="15" customHeight="1" x14ac:dyDescent="0.25">
      <c r="I20" s="292"/>
      <c r="J20" s="291"/>
      <c r="K20" s="291"/>
      <c r="L20" s="291"/>
      <c r="M20" s="291"/>
      <c r="N20" s="291"/>
      <c r="O20" s="270"/>
    </row>
    <row r="21" spans="5:21" ht="15" customHeight="1" x14ac:dyDescent="0.25">
      <c r="I21" s="292" t="s">
        <v>289</v>
      </c>
      <c r="J21" s="299">
        <f>MAX('Łączniki wiatr II'!J21,'Przemieszczenia wiatr II'!J21)</f>
        <v>8.5656142925352068</v>
      </c>
      <c r="K21" s="299">
        <f>MAX('Łączniki wiatr II'!K21,'Przemieszczenia wiatr II'!K21)</f>
        <v>8.5656142925352068</v>
      </c>
      <c r="L21" s="299">
        <f>MAX('Łączniki wiatr II'!L21,'Przemieszczenia wiatr II'!L21)</f>
        <v>6.730125515563377</v>
      </c>
      <c r="M21" s="299">
        <f>MAX('Łączniki wiatr II'!M21,'Przemieszczenia wiatr II'!M21)</f>
        <v>6.730125515563377</v>
      </c>
      <c r="N21" s="299">
        <f>MAX('Łączniki wiatr II'!N21,'Przemieszczenia wiatr II'!N21)</f>
        <v>6.730125515563377</v>
      </c>
      <c r="O21" s="292" t="s">
        <v>289</v>
      </c>
    </row>
    <row r="22" spans="5:21" ht="15" customHeight="1" x14ac:dyDescent="0.25">
      <c r="I22" s="292"/>
      <c r="J22" s="299"/>
      <c r="K22" s="299"/>
      <c r="L22" s="299"/>
      <c r="M22" s="299"/>
      <c r="N22" s="299"/>
      <c r="O22" s="292"/>
    </row>
    <row r="23" spans="5:21" ht="15.75" customHeight="1" thickBot="1" x14ac:dyDescent="0.3">
      <c r="F23" s="168"/>
      <c r="G23" s="190" t="s">
        <v>180</v>
      </c>
      <c r="H23" s="181" t="s">
        <v>264</v>
      </c>
      <c r="I23" s="292"/>
      <c r="J23" s="300"/>
      <c r="K23" s="300"/>
      <c r="L23" s="300"/>
      <c r="M23" s="300"/>
      <c r="N23" s="300"/>
      <c r="O23" s="292"/>
      <c r="P23" s="180" t="s">
        <v>264</v>
      </c>
      <c r="Q23" s="192" t="s">
        <v>180</v>
      </c>
    </row>
    <row r="24" spans="5:21" ht="15.75" customHeight="1" thickTop="1" x14ac:dyDescent="0.25">
      <c r="E24" s="244" t="str">
        <f>"Wysokość  ze = "&amp;TEXT('Obliczenia wiatr II'!D42,"####0,0##")&amp;" m"</f>
        <v>Wysokość  ze = 25,0 m</v>
      </c>
      <c r="F24" s="260" t="str">
        <f>TEXT(K75+K76+K77,"####0,0##")&amp;" m"</f>
        <v>28,0 m</v>
      </c>
      <c r="G24" s="262">
        <f>'Wyniki graficzne wiatr II'!G20</f>
        <v>2</v>
      </c>
      <c r="H24" s="291">
        <f t="array" ref="H24">IF(O8="T",INDEX(F84:F100,MATCH(TRUE,G84:G100&gt;=I24,0)),IF(O8="W",INDEX(M84:M100,MATCH(TRUE,N84:N100&gt;=I24,0)),IF(O8="H",INDEX(T84:T103,MATCH(TRUE,U84:U103&gt;=I24,0)),0)))</f>
        <v>6</v>
      </c>
      <c r="I24" s="290">
        <f>MAX('Łączniki wiatr II'!I24,'Przemieszczenia wiatr II'!I24)</f>
        <v>8.5656142925352068</v>
      </c>
      <c r="J24" s="74"/>
      <c r="K24" s="286" t="str">
        <f>"Przyjęta oś budynku, odchylona o kąt "&amp;TEXT('Obliczenia wiatr II'!C11,"####0,0##")&amp;"° od kierunku N"</f>
        <v>Przyjęta oś budynku, odchylona o kąt 10,0° od kierunku N</v>
      </c>
      <c r="L24" s="87" t="s">
        <v>98</v>
      </c>
      <c r="M24" s="75"/>
      <c r="N24" s="76"/>
      <c r="O24" s="289">
        <f>MAX('Łączniki wiatr II'!O24,'Przemieszczenia wiatr II'!O24)</f>
        <v>8.5656142925352068</v>
      </c>
      <c r="P24" s="291">
        <f t="array" ref="P24">IF(O8="T",INDEX(F84:F100,MATCH(TRUE,G84:G100&gt;=O24,0)),IF(O8="W",INDEX(M84:M100,MATCH(TRUE,N84:N100&gt;=O24,0)),IF(O8="H",INDEX(T84:T103,MATCH(TRUE,U84:U103&gt;=O24,0)),0)))</f>
        <v>6</v>
      </c>
      <c r="Q24" s="262">
        <f>'Wyniki graficzne wiatr II'!Q20</f>
        <v>2</v>
      </c>
      <c r="R24" s="244" t="str">
        <f>"Wysokość  ze = "&amp;TEXT('Obliczenia wiatr II'!D42,"####0,0##")&amp;" m"</f>
        <v>Wysokość  ze = 25,0 m</v>
      </c>
    </row>
    <row r="25" spans="5:21" ht="15" customHeight="1" x14ac:dyDescent="0.25">
      <c r="E25" s="244"/>
      <c r="F25" s="260"/>
      <c r="G25" s="262"/>
      <c r="H25" s="291"/>
      <c r="I25" s="290"/>
      <c r="J25" s="271"/>
      <c r="K25" s="287"/>
      <c r="L25" s="77"/>
      <c r="M25" s="78"/>
      <c r="N25" s="79"/>
      <c r="O25" s="289"/>
      <c r="P25" s="291"/>
      <c r="Q25" s="262"/>
      <c r="R25" s="244"/>
    </row>
    <row r="26" spans="5:21" ht="15" customHeight="1" x14ac:dyDescent="0.25">
      <c r="E26" s="244"/>
      <c r="F26" s="260"/>
      <c r="G26" s="262"/>
      <c r="H26" s="291"/>
      <c r="I26" s="290"/>
      <c r="J26" s="271"/>
      <c r="K26" s="287"/>
      <c r="L26" s="77"/>
      <c r="M26" s="78"/>
      <c r="N26" s="79"/>
      <c r="O26" s="289"/>
      <c r="P26" s="291"/>
      <c r="Q26" s="262"/>
      <c r="R26" s="244"/>
    </row>
    <row r="27" spans="5:21" ht="15" customHeight="1" x14ac:dyDescent="0.25">
      <c r="E27" s="244"/>
      <c r="F27" s="260"/>
      <c r="G27" s="262"/>
      <c r="H27" s="291"/>
      <c r="I27" s="290"/>
      <c r="J27" s="80"/>
      <c r="K27" s="287"/>
      <c r="L27" s="77"/>
      <c r="M27" s="78"/>
      <c r="N27" s="79"/>
      <c r="O27" s="289"/>
      <c r="P27" s="291"/>
      <c r="Q27" s="262"/>
      <c r="R27" s="244"/>
    </row>
    <row r="28" spans="5:21" ht="15" customHeight="1" x14ac:dyDescent="0.25">
      <c r="E28" s="244"/>
      <c r="F28" s="260"/>
      <c r="G28" s="262">
        <f>'Wyniki graficzne wiatr II'!G24</f>
        <v>8</v>
      </c>
      <c r="H28" s="291">
        <f t="array" ref="H28">IF(O8="T",INDEX(F84:F100,MATCH(TRUE,G84:G100&gt;=I28,0)),IF(O8="W",INDEX(M84:M100,MATCH(TRUE,N84:N100&gt;=I28,0)),IF(O8="H",INDEX(T84:T103,MATCH(TRUE,U84:U103&gt;=I28,0)),0)))</f>
        <v>4</v>
      </c>
      <c r="I28" s="290">
        <f>MAX('Łączniki wiatr II'!I28,'Przemieszczenia wiatr II'!I28)</f>
        <v>6.730125515563377</v>
      </c>
      <c r="J28" s="80"/>
      <c r="K28" s="287"/>
      <c r="L28" s="77"/>
      <c r="M28" s="78"/>
      <c r="N28" s="79"/>
      <c r="O28" s="289">
        <f>MAX('Łączniki wiatr II'!O28,'Przemieszczenia wiatr II'!O28)</f>
        <v>6.730125515563377</v>
      </c>
      <c r="P28" s="291">
        <f t="array" ref="P28">IF(O8="T",INDEX(F84:F100,MATCH(TRUE,G84:G100&gt;=O28,0)),IF(O8="W",INDEX(M84:M100,MATCH(TRUE,N84:N100&gt;=O28,0)),IF(O8="H",INDEX(T84:T103,MATCH(TRUE,U84:U103&gt;=O28,0)),0)))</f>
        <v>4</v>
      </c>
      <c r="Q28" s="262">
        <f>'Wyniki graficzne wiatr II'!Q24</f>
        <v>8</v>
      </c>
      <c r="R28" s="244"/>
    </row>
    <row r="29" spans="5:21" ht="15" customHeight="1" x14ac:dyDescent="0.25">
      <c r="E29" s="244"/>
      <c r="F29" s="260"/>
      <c r="G29" s="262"/>
      <c r="H29" s="291"/>
      <c r="I29" s="290"/>
      <c r="J29" s="271"/>
      <c r="K29" s="287"/>
      <c r="L29" s="77"/>
      <c r="M29" s="78"/>
      <c r="N29" s="79"/>
      <c r="O29" s="289"/>
      <c r="P29" s="291"/>
      <c r="Q29" s="262"/>
      <c r="R29" s="244"/>
      <c r="U29" s="81"/>
    </row>
    <row r="30" spans="5:21" ht="15" customHeight="1" x14ac:dyDescent="0.25">
      <c r="E30" s="244"/>
      <c r="F30" s="260"/>
      <c r="G30" s="262"/>
      <c r="H30" s="291"/>
      <c r="I30" s="290"/>
      <c r="J30" s="271"/>
      <c r="K30" s="287"/>
      <c r="L30" s="77"/>
      <c r="M30" s="78"/>
      <c r="N30" s="79"/>
      <c r="O30" s="289"/>
      <c r="P30" s="291"/>
      <c r="Q30" s="262"/>
      <c r="R30" s="244"/>
      <c r="U30" s="81"/>
    </row>
    <row r="31" spans="5:21" ht="15" customHeight="1" x14ac:dyDescent="0.25">
      <c r="E31" s="244"/>
      <c r="F31" s="260"/>
      <c r="G31" s="262"/>
      <c r="H31" s="291"/>
      <c r="I31" s="290"/>
      <c r="J31" s="80"/>
      <c r="K31" s="287"/>
      <c r="L31" s="77"/>
      <c r="M31" s="78"/>
      <c r="N31" s="79"/>
      <c r="O31" s="289"/>
      <c r="P31" s="291"/>
      <c r="Q31" s="262"/>
      <c r="R31" s="244"/>
      <c r="U31" s="81"/>
    </row>
    <row r="32" spans="5:21" ht="15" customHeight="1" x14ac:dyDescent="0.25">
      <c r="E32" s="244"/>
      <c r="F32" s="260"/>
      <c r="G32" s="262">
        <f>'Wyniki graficzne wiatr II'!G28</f>
        <v>8</v>
      </c>
      <c r="H32" s="291">
        <f t="array" ref="H32">IF(O8="T",INDEX(F84:F100,MATCH(TRUE,G84:G100&gt;=I32,0)),IF(O8="W",INDEX(M84:M100,MATCH(TRUE,N84:N100&gt;=I32,0)),IF(O8="H",INDEX(T84:T103,MATCH(TRUE,U84:U103&gt;=I32,0)),0)))</f>
        <v>2</v>
      </c>
      <c r="I32" s="290">
        <f>MAX('Łączniki wiatr II'!I32,'Przemieszczenia wiatr II'!I32)</f>
        <v>5</v>
      </c>
      <c r="J32" s="80"/>
      <c r="K32" s="287"/>
      <c r="L32" s="77"/>
      <c r="M32" s="78"/>
      <c r="N32" s="79"/>
      <c r="O32" s="289">
        <f>MAX('Łączniki wiatr II'!O32,'Przemieszczenia wiatr II'!O32)</f>
        <v>5</v>
      </c>
      <c r="P32" s="291">
        <f t="array" ref="P32">IF(O8="T",INDEX(F84:F100,MATCH(TRUE,G84:G100&gt;=O32,0)),IF(O8="W",INDEX(M84:M100,MATCH(TRUE,N84:N100&gt;=O32,0)),IF(O8="H",INDEX(T84:T103,MATCH(TRUE,U84:U103&gt;=O32,0)),0)))</f>
        <v>2</v>
      </c>
      <c r="Q32" s="262">
        <f>'Wyniki graficzne wiatr II'!Q28</f>
        <v>16</v>
      </c>
      <c r="R32" s="244"/>
      <c r="U32" s="81"/>
    </row>
    <row r="33" spans="5:21" ht="15" customHeight="1" x14ac:dyDescent="0.25">
      <c r="E33" s="244"/>
      <c r="F33" s="260"/>
      <c r="G33" s="262"/>
      <c r="H33" s="291"/>
      <c r="I33" s="290"/>
      <c r="J33" s="265" t="s">
        <v>97</v>
      </c>
      <c r="K33" s="287"/>
      <c r="L33" s="284" t="s">
        <v>88</v>
      </c>
      <c r="M33" s="78"/>
      <c r="N33" s="266" t="s">
        <v>99</v>
      </c>
      <c r="O33" s="289"/>
      <c r="P33" s="291"/>
      <c r="Q33" s="262"/>
      <c r="R33" s="244"/>
      <c r="U33" s="81"/>
    </row>
    <row r="34" spans="5:21" ht="15" customHeight="1" x14ac:dyDescent="0.25">
      <c r="E34" s="244"/>
      <c r="F34" s="260"/>
      <c r="G34" s="262"/>
      <c r="H34" s="291"/>
      <c r="I34" s="290"/>
      <c r="J34" s="265"/>
      <c r="K34" s="287"/>
      <c r="L34" s="285"/>
      <c r="M34" s="78"/>
      <c r="N34" s="266"/>
      <c r="O34" s="289"/>
      <c r="P34" s="291"/>
      <c r="Q34" s="262"/>
      <c r="R34" s="244"/>
      <c r="U34" s="81"/>
    </row>
    <row r="35" spans="5:21" ht="15" customHeight="1" x14ac:dyDescent="0.25">
      <c r="E35" s="244"/>
      <c r="F35" s="260"/>
      <c r="G35" s="262"/>
      <c r="H35" s="291"/>
      <c r="I35" s="290"/>
      <c r="J35" s="169"/>
      <c r="K35" s="287"/>
      <c r="L35" s="77"/>
      <c r="M35" s="78"/>
      <c r="N35" s="79"/>
      <c r="O35" s="289"/>
      <c r="P35" s="291"/>
      <c r="Q35" s="262"/>
      <c r="R35" s="244"/>
      <c r="U35" s="81"/>
    </row>
    <row r="36" spans="5:21" ht="15" customHeight="1" x14ac:dyDescent="0.25">
      <c r="E36" s="244"/>
      <c r="F36" s="260"/>
      <c r="G36" s="262">
        <f>'Wyniki graficzne wiatr II'!G32</f>
        <v>8</v>
      </c>
      <c r="H36" s="291">
        <f t="array" ref="H36">IF(O8="T",INDEX(F84:F100,MATCH(TRUE,G84:G100&gt;=I36,0)),IF(O8="W",INDEX(M84:M100,MATCH(TRUE,N84:N100&gt;=I36,0)),IF(O8="H",INDEX(T84:T103,MATCH(TRUE,U84:U103&gt;=I36,0)),0)))</f>
        <v>2</v>
      </c>
      <c r="I36" s="290">
        <f>MAX('Łączniki wiatr II'!I36,'Przemieszczenia wiatr II'!I36)</f>
        <v>5</v>
      </c>
      <c r="J36" s="80"/>
      <c r="K36" s="287"/>
      <c r="L36" s="77"/>
      <c r="M36" s="78"/>
      <c r="N36" s="79"/>
      <c r="O36" s="289">
        <f>MAX('Łączniki wiatr II'!O36,'Przemieszczenia wiatr II'!O36)</f>
        <v>5</v>
      </c>
      <c r="P36" s="291">
        <f t="array" ref="P36">IF(O8="T",INDEX(F84:F100,MATCH(TRUE,G84:G100&gt;=O36,0)),IF(O8="W",INDEX(M84:M100,MATCH(TRUE,N84:N100&gt;=O36,0)),IF(O8="H",INDEX(T84:T103,MATCH(TRUE,U84:U103&gt;=O36,0)),0)))</f>
        <v>2</v>
      </c>
      <c r="Q36" s="262" t="str">
        <f>'Wyniki graficzne wiatr II'!Q32</f>
        <v/>
      </c>
      <c r="R36" s="244"/>
    </row>
    <row r="37" spans="5:21" ht="15" customHeight="1" x14ac:dyDescent="0.25">
      <c r="E37" s="244"/>
      <c r="F37" s="260"/>
      <c r="G37" s="262"/>
      <c r="H37" s="291"/>
      <c r="I37" s="290"/>
      <c r="J37" s="271"/>
      <c r="K37" s="287"/>
      <c r="L37" s="77"/>
      <c r="M37" s="78"/>
      <c r="N37" s="79"/>
      <c r="O37" s="289"/>
      <c r="P37" s="291"/>
      <c r="Q37" s="262"/>
      <c r="R37" s="244"/>
    </row>
    <row r="38" spans="5:21" ht="15" customHeight="1" x14ac:dyDescent="0.25">
      <c r="E38" s="244"/>
      <c r="F38" s="260"/>
      <c r="G38" s="262"/>
      <c r="H38" s="291"/>
      <c r="I38" s="290"/>
      <c r="J38" s="271"/>
      <c r="K38" s="287"/>
      <c r="L38" s="77"/>
      <c r="M38" s="78"/>
      <c r="N38" s="79"/>
      <c r="O38" s="289"/>
      <c r="P38" s="291"/>
      <c r="Q38" s="262"/>
      <c r="R38" s="244"/>
    </row>
    <row r="39" spans="5:21" ht="15" customHeight="1" x14ac:dyDescent="0.25">
      <c r="E39" s="244"/>
      <c r="F39" s="260"/>
      <c r="G39" s="262"/>
      <c r="H39" s="291"/>
      <c r="I39" s="290"/>
      <c r="J39" s="80"/>
      <c r="K39" s="287"/>
      <c r="L39" s="77"/>
      <c r="M39" s="78"/>
      <c r="N39" s="79"/>
      <c r="O39" s="289"/>
      <c r="P39" s="291"/>
      <c r="Q39" s="262"/>
      <c r="R39" s="244"/>
    </row>
    <row r="40" spans="5:21" ht="15" customHeight="1" x14ac:dyDescent="0.25">
      <c r="E40" s="244"/>
      <c r="F40" s="260"/>
      <c r="G40" s="262">
        <f>'Wyniki graficzne wiatr II'!G36</f>
        <v>2</v>
      </c>
      <c r="H40" s="291">
        <f t="array" ref="H40">IF(O8="T",INDEX(F84:F100,MATCH(TRUE,G84:G100&gt;=I40,0)),IF(O8="W",INDEX(M84:M100,MATCH(TRUE,N84:N100&gt;=I40,0)),IF(O8="H",INDEX(T84:T103,MATCH(TRUE,U84:U103&gt;=I40,0)),0)))</f>
        <v>2</v>
      </c>
      <c r="I40" s="290">
        <f>MAX('Łączniki wiatr II'!I40,'Przemieszczenia wiatr II'!I40)</f>
        <v>5</v>
      </c>
      <c r="J40" s="80"/>
      <c r="K40" s="287"/>
      <c r="L40" s="77"/>
      <c r="M40" s="78"/>
      <c r="N40" s="79"/>
      <c r="O40" s="289">
        <f>MAX('Łączniki wiatr II'!O40,'Przemieszczenia wiatr II'!O40)</f>
        <v>5</v>
      </c>
      <c r="P40" s="291">
        <f t="array" ref="P40">IF(O8="T",INDEX(F84:F100,MATCH(TRUE,G84:G100&gt;=O40,0)),IF(O8="W",INDEX(M84:M100,MATCH(TRUE,N84:N100&gt;=O40,0)),IF(O8="H",INDEX(T84:T103,MATCH(TRUE,U84:U103&gt;=O40,0)),0)))</f>
        <v>2</v>
      </c>
      <c r="Q40" s="262">
        <f>'Wyniki graficzne wiatr II'!Q36</f>
        <v>2</v>
      </c>
      <c r="R40" s="244"/>
    </row>
    <row r="41" spans="5:21" ht="15" customHeight="1" x14ac:dyDescent="0.25">
      <c r="E41" s="244"/>
      <c r="F41" s="260"/>
      <c r="G41" s="262"/>
      <c r="H41" s="291"/>
      <c r="I41" s="290"/>
      <c r="J41" s="271"/>
      <c r="K41" s="287"/>
      <c r="L41" s="77"/>
      <c r="M41" s="78"/>
      <c r="N41" s="79"/>
      <c r="O41" s="289"/>
      <c r="P41" s="291"/>
      <c r="Q41" s="262"/>
      <c r="R41" s="244"/>
    </row>
    <row r="42" spans="5:21" ht="15" customHeight="1" x14ac:dyDescent="0.25">
      <c r="E42" s="244"/>
      <c r="F42" s="260"/>
      <c r="G42" s="262"/>
      <c r="H42" s="291"/>
      <c r="I42" s="290"/>
      <c r="J42" s="271"/>
      <c r="K42" s="287"/>
      <c r="L42" s="77"/>
      <c r="M42" s="78"/>
      <c r="N42" s="79"/>
      <c r="O42" s="289"/>
      <c r="P42" s="291"/>
      <c r="Q42" s="262"/>
      <c r="R42" s="244"/>
    </row>
    <row r="43" spans="5:21" ht="15.75" customHeight="1" thickBot="1" x14ac:dyDescent="0.3">
      <c r="E43" s="244"/>
      <c r="F43" s="260"/>
      <c r="G43" s="262"/>
      <c r="H43" s="291"/>
      <c r="I43" s="290"/>
      <c r="J43" s="83"/>
      <c r="K43" s="288"/>
      <c r="L43" s="88" t="s">
        <v>100</v>
      </c>
      <c r="M43" s="84"/>
      <c r="N43" s="85"/>
      <c r="O43" s="289"/>
      <c r="P43" s="291"/>
      <c r="Q43" s="262"/>
      <c r="R43" s="244"/>
    </row>
    <row r="44" spans="5:21" ht="15.75" customHeight="1" thickTop="1" x14ac:dyDescent="0.25">
      <c r="H44" s="191"/>
      <c r="I44" s="292" t="s">
        <v>289</v>
      </c>
      <c r="J44" s="295">
        <f>MAX('Łączniki wiatr II'!J44,'Przemieszczenia wiatr II'!J44)</f>
        <v>8.5656142925352068</v>
      </c>
      <c r="K44" s="295">
        <f>MAX('Łączniki wiatr II'!K44,'Przemieszczenia wiatr II'!K44)</f>
        <v>8.5656142925352068</v>
      </c>
      <c r="L44" s="295">
        <f>MAX('Łączniki wiatr II'!L44,'Przemieszczenia wiatr II'!L44)</f>
        <v>6.730125515563377</v>
      </c>
      <c r="M44" s="295">
        <f>MAX('Łączniki wiatr II'!M44,'Przemieszczenia wiatr II'!M44)</f>
        <v>6.730125515563377</v>
      </c>
      <c r="N44" s="295">
        <f>MAX('Łączniki wiatr II'!N44,'Przemieszczenia wiatr II'!N44)</f>
        <v>6.730125515563377</v>
      </c>
      <c r="O44" s="187"/>
      <c r="P44" s="185"/>
    </row>
    <row r="45" spans="5:21" ht="15" customHeight="1" x14ac:dyDescent="0.25">
      <c r="I45" s="292"/>
      <c r="J45" s="296"/>
      <c r="K45" s="296"/>
      <c r="L45" s="296"/>
      <c r="M45" s="296"/>
      <c r="N45" s="296"/>
      <c r="O45" s="188"/>
    </row>
    <row r="46" spans="5:21" ht="15" customHeight="1" x14ac:dyDescent="0.25">
      <c r="I46" s="292"/>
      <c r="J46" s="296"/>
      <c r="K46" s="296"/>
      <c r="L46" s="296"/>
      <c r="M46" s="296"/>
      <c r="N46" s="296"/>
      <c r="O46" s="188"/>
    </row>
    <row r="47" spans="5:21" ht="15" customHeight="1" x14ac:dyDescent="0.25">
      <c r="I47" s="292" t="s">
        <v>264</v>
      </c>
      <c r="J47" s="291">
        <f t="array" ref="J47">IF(O8="T",INDEX(F84:F100,MATCH(TRUE,G84:G100&gt;=J44,0)),IF(O8="W",INDEX(M84:M100,MATCH(TRUE,N84:N100&gt;=J44,0)),IF(O8="H",INDEX(T84:T103,MATCH(TRUE,U84:U103&gt;=J44,0)),0)))</f>
        <v>6</v>
      </c>
      <c r="K47" s="291">
        <f t="array" ref="K47">IF(O8="T",INDEX(F84:F100,MATCH(TRUE,G84:G100&gt;=K44,0)),IF(O8="W",INDEX(M84:M100,MATCH(TRUE,N84:N100&gt;=K44,0)),IF(O8="H",INDEX(T84:T103,MATCH(TRUE,U84:U103&gt;=K44,0)),0)))</f>
        <v>6</v>
      </c>
      <c r="L47" s="298">
        <f t="array" ref="L47">IF(O8="T",INDEX(F84:F100,MATCH(TRUE,G84:G100&gt;=L44,0)),IF(O8="W",INDEX(M84:M100,MATCH(TRUE,N84:N100&gt;=L44,0)),IF(O8="H",INDEX(T84:T103,MATCH(TRUE,U84:U103&gt;=L44,0)),0)))</f>
        <v>4</v>
      </c>
      <c r="M47" s="291">
        <f t="array" ref="M47">IF(O8="T",INDEX(F84:F100,MATCH(TRUE,G84:G100&gt;=M44,0)),IF(O8="W",INDEX(M84:M100,MATCH(TRUE,N84:N100&gt;=M44,0)),IF(O8="H",INDEX(T84:T103,MATCH(TRUE,U84:U103&gt;=M44,0)),0)))</f>
        <v>4</v>
      </c>
      <c r="N47" s="291">
        <f t="array" ref="N47">IF(O8="T",INDEX(F84:F100,MATCH(TRUE,G84:G100&gt;=N44,0)),IF(O8="W",INDEX(M84:M100,MATCH(TRUE,N84:N100&gt;=N44,0)),IF(O8="H",INDEX(T84:T103,MATCH(TRUE,U84:U103&gt;=N44,0)),0)))</f>
        <v>4</v>
      </c>
      <c r="O47" s="188"/>
    </row>
    <row r="48" spans="5:21" ht="15" customHeight="1" x14ac:dyDescent="0.25">
      <c r="I48" s="292"/>
      <c r="J48" s="291"/>
      <c r="K48" s="291"/>
      <c r="L48" s="298"/>
      <c r="M48" s="291"/>
      <c r="N48" s="291"/>
      <c r="O48" s="188"/>
    </row>
    <row r="49" spans="9:15" x14ac:dyDescent="0.25">
      <c r="I49" s="297" t="s">
        <v>180</v>
      </c>
      <c r="J49" s="262">
        <f>'Wyniki graficzne wiatr II'!J45</f>
        <v>5.6</v>
      </c>
      <c r="K49" s="262" t="str">
        <f>'Wyniki graficzne wiatr II'!K45</f>
        <v/>
      </c>
      <c r="L49" s="262">
        <f>'Wyniki graficzne wiatr II'!L45</f>
        <v>4.4000000000000004</v>
      </c>
      <c r="M49" s="262" t="str">
        <f>'Wyniki graficzne wiatr II'!M45</f>
        <v/>
      </c>
      <c r="N49" s="262" t="str">
        <f>'Wyniki graficzne wiatr II'!N45</f>
        <v/>
      </c>
    </row>
    <row r="50" spans="9:15" x14ac:dyDescent="0.25">
      <c r="I50" s="297"/>
      <c r="J50" s="262"/>
      <c r="K50" s="262"/>
      <c r="L50" s="262"/>
      <c r="M50" s="262"/>
      <c r="N50" s="262"/>
    </row>
    <row r="51" spans="9:15" x14ac:dyDescent="0.25">
      <c r="I51" s="297"/>
      <c r="J51" s="262"/>
      <c r="K51" s="262"/>
      <c r="L51" s="262"/>
      <c r="M51" s="262"/>
      <c r="N51" s="262"/>
    </row>
    <row r="52" spans="9:15" x14ac:dyDescent="0.25">
      <c r="I52" s="297"/>
      <c r="J52" s="262"/>
      <c r="K52" s="262"/>
      <c r="L52" s="262"/>
      <c r="M52" s="262"/>
      <c r="N52" s="262"/>
    </row>
    <row r="53" spans="9:15" ht="15" customHeight="1" x14ac:dyDescent="0.25">
      <c r="I53" s="86"/>
      <c r="J53" s="262" t="str">
        <f>TEXT(N75+N76+N77,"####0,0##")&amp;" m"</f>
        <v>10,0 m</v>
      </c>
      <c r="K53" s="262"/>
      <c r="L53" s="262"/>
      <c r="M53" s="262"/>
      <c r="N53" s="262"/>
      <c r="O53" s="86"/>
    </row>
    <row r="54" spans="9:15" ht="15" customHeight="1" x14ac:dyDescent="0.25">
      <c r="I54" s="86"/>
      <c r="J54" s="262"/>
      <c r="K54" s="262"/>
      <c r="L54" s="262"/>
      <c r="M54" s="262"/>
      <c r="N54" s="262"/>
      <c r="O54" s="86"/>
    </row>
    <row r="55" spans="9:15" ht="15" customHeight="1" x14ac:dyDescent="0.25">
      <c r="I55" s="86"/>
      <c r="J55" s="262"/>
      <c r="K55" s="262"/>
      <c r="L55" s="262"/>
      <c r="M55" s="262"/>
      <c r="N55" s="262"/>
      <c r="O55" s="86"/>
    </row>
    <row r="56" spans="9:15" ht="15" customHeight="1" x14ac:dyDescent="0.25">
      <c r="I56" s="86"/>
      <c r="J56" s="282" t="str">
        <f>"Wysokość  ze = "&amp;TEXT('Obliczenia wiatr II'!E42,"####0,0##")&amp;" m"</f>
        <v>Wysokość  ze = 25,0 m</v>
      </c>
      <c r="K56" s="282"/>
      <c r="L56" s="282"/>
      <c r="M56" s="282"/>
      <c r="N56" s="282"/>
      <c r="O56" s="86"/>
    </row>
    <row r="57" spans="9:15" ht="15" customHeight="1" x14ac:dyDescent="0.25">
      <c r="I57" s="86"/>
      <c r="J57" s="282"/>
      <c r="K57" s="282"/>
      <c r="L57" s="282"/>
      <c r="M57" s="282"/>
      <c r="N57" s="282"/>
      <c r="O57" s="86"/>
    </row>
    <row r="58" spans="9:15" ht="15" customHeight="1" x14ac:dyDescent="0.25">
      <c r="I58" s="86"/>
      <c r="J58" s="282"/>
      <c r="K58" s="282"/>
      <c r="L58" s="282"/>
      <c r="M58" s="282"/>
      <c r="N58" s="282"/>
      <c r="O58" s="86"/>
    </row>
    <row r="61" spans="9:15" x14ac:dyDescent="0.25">
      <c r="J61" s="293" t="s">
        <v>267</v>
      </c>
      <c r="K61" s="293"/>
      <c r="L61" s="293"/>
      <c r="M61" s="293"/>
      <c r="N61" s="293"/>
    </row>
    <row r="63" spans="9:15" x14ac:dyDescent="0.25">
      <c r="J63" s="6">
        <f>(1-O10/100)*'Wyniki graficzne wiatr II'!J15</f>
        <v>2.1321384265360308</v>
      </c>
      <c r="K63" s="6">
        <f>(1-O10/100)*'Wyniki graficzne wiatr II'!K15</f>
        <v>2.1321384265360308</v>
      </c>
      <c r="L63" s="6">
        <f>(1-O10/100)*'Wyniki graficzne wiatr II'!L15</f>
        <v>1.6752516208497386</v>
      </c>
      <c r="M63" s="6">
        <f>(1-O10/100)*'Wyniki graficzne wiatr II'!M15</f>
        <v>1.6752516208497386</v>
      </c>
      <c r="N63" s="6">
        <f>(1-O10/100)*'Wyniki graficzne wiatr II'!N15</f>
        <v>1.6752516208497386</v>
      </c>
    </row>
    <row r="64" spans="9:15" x14ac:dyDescent="0.25">
      <c r="I64" s="6">
        <f>(1-O10/100)*'Wyniki graficzne wiatr II'!H20</f>
        <v>2.1321384265360308</v>
      </c>
      <c r="O64" s="6">
        <f>(1-O10/100)*'Wyniki graficzne wiatr II'!O20</f>
        <v>2.1321384265360308</v>
      </c>
    </row>
    <row r="65" spans="2:21" x14ac:dyDescent="0.25">
      <c r="I65" s="6">
        <f>(1-O10/100)*'Wyniki graficzne wiatr II'!H24</f>
        <v>1.6752516208497386</v>
      </c>
      <c r="O65" s="6">
        <f>(1-O10/100)*'Wyniki graficzne wiatr II'!O24</f>
        <v>1.6752516208497386</v>
      </c>
    </row>
    <row r="66" spans="2:21" x14ac:dyDescent="0.25">
      <c r="I66" s="6">
        <f>(1-O10/100)*'Wyniki graficzne wiatr II'!H28</f>
        <v>0.76147800947715394</v>
      </c>
      <c r="O66" s="6">
        <f>(1-O10/100)*'Wyniki graficzne wiatr II'!O28</f>
        <v>0.87569971089872689</v>
      </c>
    </row>
    <row r="67" spans="2:21" x14ac:dyDescent="0.25">
      <c r="I67" s="6">
        <f>(1-O10/100)*'Wyniki graficzne wiatr II'!H32</f>
        <v>0.8208732942163719</v>
      </c>
      <c r="O67" s="6">
        <f>(1-O10/100)*'Wyniki graficzne wiatr II'!O32</f>
        <v>0.87569971089872689</v>
      </c>
    </row>
    <row r="68" spans="2:21" x14ac:dyDescent="0.25">
      <c r="I68" s="6">
        <f>(1-O10/100)*'Wyniki graficzne wiatr II'!H36</f>
        <v>1.0447478290026551</v>
      </c>
      <c r="O68" s="6">
        <f>(1-O10/100)*'Wyniki graficzne wiatr II'!O36</f>
        <v>1.0447478290026551</v>
      </c>
    </row>
    <row r="69" spans="2:21" x14ac:dyDescent="0.25">
      <c r="J69" s="6">
        <f>(1-O10/100)*'Wyniki graficzne wiatr II'!J40</f>
        <v>2.1321384265360308</v>
      </c>
      <c r="K69" s="6">
        <f>(1-O10/100)*'Wyniki graficzne wiatr II'!K40</f>
        <v>2.1321384265360308</v>
      </c>
      <c r="L69" s="6">
        <f>(1-O10/100)*'Wyniki graficzne wiatr II'!L40</f>
        <v>1.6752516208497386</v>
      </c>
      <c r="M69" s="6">
        <f>(1-O10/100)*'Wyniki graficzne wiatr II'!M40</f>
        <v>1.6752516208497386</v>
      </c>
      <c r="N69" s="6">
        <f>(1-O10/100)*'Wyniki graficzne wiatr II'!N40</f>
        <v>1.6752516208497386</v>
      </c>
    </row>
    <row r="71" spans="2:21" x14ac:dyDescent="0.25">
      <c r="B71" s="166"/>
      <c r="H71" s="29"/>
      <c r="I71" s="29"/>
      <c r="J71" s="29"/>
      <c r="K71" s="29"/>
      <c r="L71" s="29"/>
      <c r="M71" s="29"/>
    </row>
    <row r="72" spans="2:21" x14ac:dyDescent="0.25">
      <c r="J72" s="294" t="s">
        <v>96</v>
      </c>
      <c r="K72" s="294"/>
      <c r="L72" s="294"/>
      <c r="M72" s="294"/>
      <c r="N72" s="294"/>
    </row>
    <row r="74" spans="2:21" x14ac:dyDescent="0.25">
      <c r="K74" s="13" t="s">
        <v>97</v>
      </c>
      <c r="L74" s="19" t="s">
        <v>98</v>
      </c>
      <c r="M74" s="13" t="s">
        <v>99</v>
      </c>
      <c r="N74" s="13" t="s">
        <v>100</v>
      </c>
    </row>
    <row r="75" spans="2:21" x14ac:dyDescent="0.25">
      <c r="H75" s="16"/>
      <c r="J75" s="13" t="s">
        <v>101</v>
      </c>
      <c r="K75">
        <f>'Obliczenia wiatr II'!D35</f>
        <v>2</v>
      </c>
      <c r="L75">
        <f>'Obliczenia wiatr II'!E35</f>
        <v>5.6</v>
      </c>
      <c r="M75">
        <f>'Obliczenia wiatr II'!F35</f>
        <v>2</v>
      </c>
      <c r="N75">
        <f>'Obliczenia wiatr II'!G35</f>
        <v>5.6</v>
      </c>
      <c r="R75" s="16"/>
      <c r="S75" s="16"/>
      <c r="T75" s="16"/>
      <c r="U75" s="16"/>
    </row>
    <row r="76" spans="2:21" x14ac:dyDescent="0.25">
      <c r="H76" s="16"/>
      <c r="J76" s="13" t="s">
        <v>102</v>
      </c>
      <c r="K76">
        <f>'Obliczenia wiatr II'!D36</f>
        <v>8</v>
      </c>
      <c r="L76">
        <f>'Obliczenia wiatr II'!E36</f>
        <v>4.4000000000000004</v>
      </c>
      <c r="M76">
        <f>'Obliczenia wiatr II'!F36</f>
        <v>8</v>
      </c>
      <c r="N76">
        <f>'Obliczenia wiatr II'!G36</f>
        <v>4.4000000000000004</v>
      </c>
      <c r="R76" s="16"/>
      <c r="S76" s="16"/>
      <c r="T76" s="16"/>
      <c r="U76" s="16"/>
    </row>
    <row r="77" spans="2:21" x14ac:dyDescent="0.25">
      <c r="H77" s="16"/>
      <c r="J77" s="13" t="s">
        <v>103</v>
      </c>
      <c r="K77" s="18">
        <f>'Obliczenia wiatr II'!D37</f>
        <v>18</v>
      </c>
      <c r="L77" s="18">
        <f>'Obliczenia wiatr II'!E37</f>
        <v>0</v>
      </c>
      <c r="M77" s="18">
        <f>'Obliczenia wiatr II'!F37</f>
        <v>18</v>
      </c>
      <c r="N77" s="18">
        <f>'Obliczenia wiatr II'!G37</f>
        <v>0</v>
      </c>
    </row>
    <row r="78" spans="2:21" x14ac:dyDescent="0.25">
      <c r="H78" s="16"/>
      <c r="J78" s="13"/>
    </row>
    <row r="79" spans="2:21" x14ac:dyDescent="0.25">
      <c r="H79" s="16"/>
      <c r="J79" s="13" t="s">
        <v>104</v>
      </c>
      <c r="K79" s="18">
        <f>'Obliczenia wiatr II'!D29</f>
        <v>10</v>
      </c>
      <c r="L79" s="18">
        <f>'Obliczenia wiatr II'!E29</f>
        <v>28</v>
      </c>
      <c r="M79" s="18">
        <f>'Obliczenia wiatr II'!F29</f>
        <v>10</v>
      </c>
      <c r="N79" s="18">
        <f>'Obliczenia wiatr II'!G29</f>
        <v>28</v>
      </c>
    </row>
    <row r="81" spans="2:21" x14ac:dyDescent="0.25">
      <c r="B81" s="293" t="s">
        <v>268</v>
      </c>
      <c r="C81" s="293"/>
      <c r="D81" s="293"/>
      <c r="E81" s="293"/>
      <c r="F81" s="293"/>
      <c r="G81" s="293"/>
      <c r="I81" s="293" t="s">
        <v>270</v>
      </c>
      <c r="J81" s="293"/>
      <c r="K81" s="293"/>
      <c r="L81" s="293"/>
      <c r="M81" s="293"/>
      <c r="N81" s="293"/>
      <c r="P81" s="293" t="s">
        <v>271</v>
      </c>
      <c r="Q81" s="293"/>
      <c r="R81" s="293"/>
      <c r="S81" s="293"/>
      <c r="T81" s="293"/>
      <c r="U81" s="293"/>
    </row>
    <row r="83" spans="2:21" x14ac:dyDescent="0.25">
      <c r="B83" t="s">
        <v>264</v>
      </c>
      <c r="C83" t="s">
        <v>265</v>
      </c>
      <c r="D83" t="s">
        <v>266</v>
      </c>
      <c r="E83" t="s">
        <v>266</v>
      </c>
      <c r="F83" t="s">
        <v>264</v>
      </c>
      <c r="G83" t="s">
        <v>265</v>
      </c>
      <c r="I83" t="s">
        <v>264</v>
      </c>
      <c r="J83" t="s">
        <v>265</v>
      </c>
      <c r="K83" t="s">
        <v>266</v>
      </c>
      <c r="L83" t="s">
        <v>266</v>
      </c>
      <c r="M83" t="s">
        <v>264</v>
      </c>
      <c r="N83" t="s">
        <v>265</v>
      </c>
      <c r="P83" t="s">
        <v>264</v>
      </c>
      <c r="Q83" t="s">
        <v>265</v>
      </c>
      <c r="R83" t="s">
        <v>266</v>
      </c>
      <c r="S83" t="s">
        <v>266</v>
      </c>
      <c r="T83" t="s">
        <v>264</v>
      </c>
      <c r="U83" t="s">
        <v>265</v>
      </c>
    </row>
    <row r="84" spans="2:21" x14ac:dyDescent="0.25">
      <c r="B84">
        <v>1</v>
      </c>
      <c r="C84" s="2">
        <f>'Obliczenia nośności T'!$D$13</f>
        <v>4</v>
      </c>
      <c r="D84" s="2">
        <f>IF($C$84&lt;$O$9,0,'Obliczenia nośności T'!$D$29)</f>
        <v>0</v>
      </c>
      <c r="E84" s="2">
        <f>SMALL(D84:D100,1)</f>
        <v>0</v>
      </c>
      <c r="F84">
        <f>INDEX(B84:B100,MATCH(E84,D84:D100,))</f>
        <v>1</v>
      </c>
      <c r="G84" s="18">
        <f>INDEX(C84:C100,MATCH(E84,D84:D100,))</f>
        <v>4</v>
      </c>
      <c r="I84">
        <v>1</v>
      </c>
      <c r="J84" s="2">
        <f>'Obliczenia nośności W'!$D$13</f>
        <v>3.3333333333333335</v>
      </c>
      <c r="K84" s="2">
        <f>IF($J$84&lt;$O$9,0,'Obliczenia nośności W'!$D$29)</f>
        <v>0</v>
      </c>
      <c r="L84" s="2">
        <f>SMALL(K84:K100,1)</f>
        <v>0</v>
      </c>
      <c r="M84">
        <f>INDEX(I84:I100,MATCH(L84,K84:K100,))</f>
        <v>1</v>
      </c>
      <c r="N84" s="18">
        <f>INDEX(J84:J100,MATCH(L84,K84:K100,))</f>
        <v>3.3333333333333335</v>
      </c>
      <c r="P84">
        <v>1</v>
      </c>
      <c r="Q84" s="2">
        <f>'Obliczenia nośności H'!$D$27</f>
        <v>4.166666666666667</v>
      </c>
      <c r="R84" s="2">
        <f>IF($Q$84&lt;$O$9,0,'Obliczenia nośności H'!$D$43)</f>
        <v>0</v>
      </c>
      <c r="S84" s="2">
        <f>SMALL(R84:R103,1)</f>
        <v>0</v>
      </c>
      <c r="T84">
        <f>INDEX(P84:P103,MATCH(S84,R84:R103,))</f>
        <v>1</v>
      </c>
      <c r="U84" s="18">
        <f>INDEX(Q84:Q103,MATCH(S84,R84:R103,))</f>
        <v>4.166666666666667</v>
      </c>
    </row>
    <row r="85" spans="2:21" x14ac:dyDescent="0.25">
      <c r="B85">
        <v>2</v>
      </c>
      <c r="C85" s="2">
        <f>'Obliczenia nośności T'!$E$13</f>
        <v>5</v>
      </c>
      <c r="D85" s="2">
        <f>IF($C$85&lt;$O$9,0,'Obliczenia nośności T'!$E$29)</f>
        <v>1.36</v>
      </c>
      <c r="E85" s="2">
        <f>SMALL(D84:D100,2)</f>
        <v>1.36</v>
      </c>
      <c r="F85">
        <f>INDEX(B84:B100,MATCH(E85,D84:D100,))</f>
        <v>2</v>
      </c>
      <c r="G85" s="18">
        <f>INDEX(C84:C100,MATCH(E85,D84:D100,))</f>
        <v>5</v>
      </c>
      <c r="I85">
        <v>2</v>
      </c>
      <c r="J85" s="2">
        <f>'Obliczenia nośności W'!$E$13</f>
        <v>4.166666666666667</v>
      </c>
      <c r="K85" s="2">
        <f>IF($J$85&lt;$O$9,0,'Obliczenia nośności W'!$E$29)</f>
        <v>0</v>
      </c>
      <c r="L85" s="2">
        <f>SMALL(K84:K100,2)</f>
        <v>0</v>
      </c>
      <c r="M85">
        <f>INDEX(I84:I100,MATCH(L85,K84:K100,))</f>
        <v>1</v>
      </c>
      <c r="N85" s="18">
        <f>INDEX(J84:J100,MATCH(L85,K84:K100,))</f>
        <v>3.3333333333333335</v>
      </c>
      <c r="P85">
        <v>2</v>
      </c>
      <c r="Q85" s="2">
        <f>'Obliczenia nośności H'!$E$27</f>
        <v>5.2083333333333339</v>
      </c>
      <c r="R85" s="2">
        <f>IF($Q$85&lt;$O$9,0,'Obliczenia nośności H'!$E$43)</f>
        <v>1.484375</v>
      </c>
      <c r="S85" s="2">
        <f>SMALL(R84:R103,2)</f>
        <v>0</v>
      </c>
      <c r="T85">
        <f>INDEX(P84:P103,MATCH(S85,R84:R103,))</f>
        <v>1</v>
      </c>
      <c r="U85" s="18">
        <f>INDEX(Q84:Q103,MATCH(S85,R84:R103,))</f>
        <v>4.166666666666667</v>
      </c>
    </row>
    <row r="86" spans="2:21" x14ac:dyDescent="0.25">
      <c r="B86">
        <v>3</v>
      </c>
      <c r="C86" s="2">
        <f>'Obliczenia nośności T'!$F$13</f>
        <v>6</v>
      </c>
      <c r="D86" s="2">
        <f>IF($C$86&lt;$O$9,0,'Obliczenia nośności T'!$F$29)</f>
        <v>1.6800000000000002</v>
      </c>
      <c r="E86" s="2">
        <f>SMALL(D84:D100,3)</f>
        <v>1.6800000000000002</v>
      </c>
      <c r="F86">
        <f>INDEX(B84:B100,MATCH(E86,D84:D100,))</f>
        <v>3</v>
      </c>
      <c r="G86" s="18">
        <f>INDEX(C84:C100,MATCH(E86,D84:D100,))</f>
        <v>6</v>
      </c>
      <c r="I86">
        <v>3</v>
      </c>
      <c r="J86" s="2">
        <f>'Obliczenia nośności W'!$F$13</f>
        <v>5</v>
      </c>
      <c r="K86" s="2">
        <f>IF($J$86&lt;$O$9,0,'Obliczenia nośności W'!$F$29)</f>
        <v>0.92500000000000004</v>
      </c>
      <c r="L86" s="2">
        <f>SMALL(K84:K100,3)</f>
        <v>0</v>
      </c>
      <c r="M86">
        <f>INDEX(I84:I100,MATCH(L86,K84:K100,))</f>
        <v>1</v>
      </c>
      <c r="N86" s="18">
        <f>INDEX(J84:J100,MATCH(L86,K84:K100,))</f>
        <v>3.3333333333333335</v>
      </c>
      <c r="P86">
        <v>3</v>
      </c>
      <c r="Q86" s="2">
        <f>'Obliczenia nośności H'!$F$27</f>
        <v>6.25</v>
      </c>
      <c r="R86" s="2">
        <f>IF($Q$86&lt;$O$9,0,'Obliczenia nośności H'!$F$43)</f>
        <v>1.78125</v>
      </c>
      <c r="S86" s="2">
        <f>SMALL(R84:R103,3)</f>
        <v>1.484375</v>
      </c>
      <c r="T86">
        <f>INDEX(P84:P103,MATCH(S86,R84:R103,))</f>
        <v>2</v>
      </c>
      <c r="U86" s="18">
        <f>INDEX(Q84:Q103,MATCH(S86,R84:R103,))</f>
        <v>5.2083333333333339</v>
      </c>
    </row>
    <row r="87" spans="2:21" x14ac:dyDescent="0.25">
      <c r="B87">
        <v>4</v>
      </c>
      <c r="C87" s="2">
        <f>'Obliczenia nośności T'!$G$13</f>
        <v>7</v>
      </c>
      <c r="D87" s="2">
        <f>IF($C$87&lt;$O$9,0,'Obliczenia nośności T'!$G$29)</f>
        <v>2</v>
      </c>
      <c r="E87" s="2">
        <f>SMALL(D84:D100,4)</f>
        <v>2</v>
      </c>
      <c r="F87">
        <f>INDEX(B84:B100,MATCH(E87,D84:D100,))</f>
        <v>4</v>
      </c>
      <c r="G87" s="18">
        <f>INDEX(C84:C100,MATCH(E87,D84:D100,))</f>
        <v>7</v>
      </c>
      <c r="I87">
        <v>4</v>
      </c>
      <c r="J87" s="2">
        <f>'Obliczenia nośności W'!$G$13</f>
        <v>5.8333333333333339</v>
      </c>
      <c r="K87" s="2">
        <f>IF($J$87&lt;$O$9,0,'Obliczenia nośności W'!$G$29)</f>
        <v>1.0791666666666668</v>
      </c>
      <c r="L87" s="2">
        <f>SMALL(K84:K100,4)</f>
        <v>0.92500000000000004</v>
      </c>
      <c r="M87">
        <f>INDEX(I84:I100,MATCH(L87,K84:K100,))</f>
        <v>3</v>
      </c>
      <c r="N87" s="18">
        <f>INDEX(J84:J100,MATCH(L87,K84:K100,))</f>
        <v>5</v>
      </c>
      <c r="P87">
        <v>4</v>
      </c>
      <c r="Q87" s="2">
        <f>'Obliczenia nośności H'!$G$27</f>
        <v>7.291666666666667</v>
      </c>
      <c r="R87" s="2">
        <f>IF($Q$87&lt;$O$9,0,'Obliczenia nośności H'!$G$43)</f>
        <v>2.078125</v>
      </c>
      <c r="S87" s="2">
        <f>SMALL(R84:R103,4)</f>
        <v>1.7812499999999998</v>
      </c>
      <c r="T87">
        <f>INDEX(P84:P103,MATCH(S87,R84:R103,))</f>
        <v>14</v>
      </c>
      <c r="U87" s="18">
        <f>INDEX(Q84:Q103,MATCH(S87,R84:R103,))</f>
        <v>6.25</v>
      </c>
    </row>
    <row r="88" spans="2:21" x14ac:dyDescent="0.25">
      <c r="B88">
        <v>5</v>
      </c>
      <c r="C88" s="2">
        <f>'Obliczenia nośności T'!$H$13</f>
        <v>8</v>
      </c>
      <c r="D88" s="2">
        <f>IF($C$88&lt;$O$9,0,'Obliczenia nośności T'!$H$29)</f>
        <v>2.3200000000000003</v>
      </c>
      <c r="E88" s="2">
        <f>SMALL(D84:D100,5)</f>
        <v>2.3200000000000003</v>
      </c>
      <c r="F88">
        <f>INDEX(B84:B100,MATCH(E88,D84:D100,))</f>
        <v>5</v>
      </c>
      <c r="G88" s="18">
        <f>INDEX(C84:C100,MATCH(E88,D84:D100,))</f>
        <v>8</v>
      </c>
      <c r="I88">
        <v>5</v>
      </c>
      <c r="J88" s="2">
        <f>'Obliczenia nośności W'!$H$13</f>
        <v>6.666666666666667</v>
      </c>
      <c r="K88" s="2">
        <f>IF($J$88&lt;$O$9,0,'Obliczenia nośności W'!$H$29)</f>
        <v>1.2333333333333334</v>
      </c>
      <c r="L88" s="2">
        <f>SMALL(K84:K100,5)</f>
        <v>1.0791666666666668</v>
      </c>
      <c r="M88">
        <f>INDEX(I84:I100,MATCH(L88,K84:K100,))</f>
        <v>4</v>
      </c>
      <c r="N88" s="18">
        <f>INDEX(J84:J100,MATCH(L88,K84:K100,))</f>
        <v>5.8333333333333339</v>
      </c>
      <c r="P88">
        <v>5</v>
      </c>
      <c r="Q88" s="2">
        <f>'Obliczenia nośności H'!$H$27</f>
        <v>8.3333333333333339</v>
      </c>
      <c r="R88" s="2">
        <f>IF($Q$88&lt;$O$9,0,'Obliczenia nośności H'!$H$43)</f>
        <v>2.375</v>
      </c>
      <c r="S88" s="2">
        <f>SMALL(R84:R103,5)</f>
        <v>1.78125</v>
      </c>
      <c r="T88">
        <f>INDEX(P84:P103,MATCH(S88,R84:R103,))</f>
        <v>3</v>
      </c>
      <c r="U88" s="18">
        <f>INDEX(Q84:Q103,MATCH(S88,R84:R103,))</f>
        <v>6.25</v>
      </c>
    </row>
    <row r="89" spans="2:21" x14ac:dyDescent="0.25">
      <c r="B89">
        <v>6</v>
      </c>
      <c r="C89" s="2">
        <f>'Obliczenia nośności T'!$I$13</f>
        <v>9</v>
      </c>
      <c r="D89" s="2">
        <f>IF($C$89&lt;$O$9,0,'Obliczenia nośności T'!$I$29)</f>
        <v>2.64</v>
      </c>
      <c r="E89" s="2">
        <f>SMALL(D84:D100,6)</f>
        <v>2.64</v>
      </c>
      <c r="F89">
        <f>INDEX(B84:B100,MATCH(E89,D84:D100,))</f>
        <v>6</v>
      </c>
      <c r="G89" s="18">
        <f>INDEX(C84:C100,MATCH(E89,D84:D100,))</f>
        <v>9</v>
      </c>
      <c r="I89">
        <v>6</v>
      </c>
      <c r="J89" s="2">
        <f>'Obliczenia nośności W'!$I$13</f>
        <v>7.5</v>
      </c>
      <c r="K89" s="2">
        <f>IF($J$89&lt;$O$9,0,'Obliczenia nośności W'!$I$29)</f>
        <v>1.3875</v>
      </c>
      <c r="L89" s="2">
        <f>SMALL(K84:K100,6)</f>
        <v>1.2333333333333334</v>
      </c>
      <c r="M89">
        <f>INDEX(I84:I100,MATCH(L89,K84:K100,))</f>
        <v>5</v>
      </c>
      <c r="N89" s="18">
        <f>INDEX(J84:J100,MATCH(L89,K84:K100,))</f>
        <v>6.666666666666667</v>
      </c>
      <c r="P89">
        <v>6</v>
      </c>
      <c r="Q89" s="2">
        <f>'Obliczenia nośności H'!$I$27</f>
        <v>9.375</v>
      </c>
      <c r="R89" s="2">
        <f>IF($Q$89&lt;$O$9,0,'Obliczenia nośności H'!$I$43)</f>
        <v>2.671875</v>
      </c>
      <c r="S89" s="2">
        <f>SMALL(R84:R103,6)</f>
        <v>2.078125</v>
      </c>
      <c r="T89">
        <f>INDEX(P84:P103,MATCH(S89,R84:R103,))</f>
        <v>4</v>
      </c>
      <c r="U89" s="18">
        <f>INDEX(Q84:Q103,MATCH(S89,R84:R103,))</f>
        <v>7.291666666666667</v>
      </c>
    </row>
    <row r="90" spans="2:21" x14ac:dyDescent="0.25">
      <c r="B90">
        <v>7</v>
      </c>
      <c r="C90" s="2">
        <f>'Obliczenia nośności T'!$J$13</f>
        <v>10</v>
      </c>
      <c r="D90" s="2">
        <f>IF($C$90&lt;$O$9,0,'Obliczenia nośności T'!$J$29)</f>
        <v>2.96</v>
      </c>
      <c r="E90" s="2">
        <f>SMALL(D84:D100,7)</f>
        <v>2.84</v>
      </c>
      <c r="F90">
        <f>INDEX(B84:B100,MATCH(E90,D84:D100,))</f>
        <v>17</v>
      </c>
      <c r="G90" s="18">
        <f>INDEX(C84:C100,MATCH(E90,D84:D100,))</f>
        <v>10</v>
      </c>
      <c r="I90">
        <v>7</v>
      </c>
      <c r="J90" s="2">
        <f>'Obliczenia nośności W'!$J$13</f>
        <v>8.3333333333333339</v>
      </c>
      <c r="K90" s="2">
        <f>IF($J$90&lt;$O$9,0,'Obliczenia nośności W'!$J$29)</f>
        <v>1.5416666666666667</v>
      </c>
      <c r="L90" s="2">
        <f>SMALL(K84:K100,7)</f>
        <v>1.3875</v>
      </c>
      <c r="M90">
        <f>INDEX(I84:I100,MATCH(L90,K84:K100,))</f>
        <v>6</v>
      </c>
      <c r="N90" s="18">
        <f>INDEX(J84:J100,MATCH(L90,K84:K100,))</f>
        <v>7.5</v>
      </c>
      <c r="P90">
        <v>7</v>
      </c>
      <c r="Q90" s="2">
        <f>'Obliczenia nośności H'!$J$27</f>
        <v>10.416666666666668</v>
      </c>
      <c r="R90" s="2">
        <f>IF($Q$90&lt;$O$9,0,'Obliczenia nośności H'!$J$43)</f>
        <v>2.96875</v>
      </c>
      <c r="S90" s="2">
        <f>SMALL(R84:R103,7)</f>
        <v>2.375</v>
      </c>
      <c r="T90">
        <f>INDEX(P84:P103,MATCH(S90,R84:R103,))</f>
        <v>5</v>
      </c>
      <c r="U90" s="18">
        <f>INDEX(Q84:Q103,MATCH(S90,R84:R103,))</f>
        <v>8.3333333333333339</v>
      </c>
    </row>
    <row r="91" spans="2:21" x14ac:dyDescent="0.25">
      <c r="B91">
        <v>8</v>
      </c>
      <c r="C91" s="2">
        <f>'Obliczenia nośności T'!$K$13</f>
        <v>11</v>
      </c>
      <c r="D91" s="2">
        <f>IF($C$91&lt;$O$9,0,'Obliczenia nośności T'!$K$29)</f>
        <v>3.2800000000000002</v>
      </c>
      <c r="E91" s="2">
        <f>SMALL(D84:D100,8)</f>
        <v>2.96</v>
      </c>
      <c r="F91">
        <f>INDEX(B84:B100,MATCH(E91,D84:D100,))</f>
        <v>7</v>
      </c>
      <c r="G91" s="18">
        <f>INDEX(C84:C100,MATCH(E91,D84:D100,))</f>
        <v>10</v>
      </c>
      <c r="I91">
        <v>8</v>
      </c>
      <c r="J91" s="2">
        <f>'Obliczenia nośności W'!$K$13</f>
        <v>9.1666666666666679</v>
      </c>
      <c r="K91" s="2">
        <f>IF($J$91&lt;$O$9,0,'Obliczenia nośności W'!$K$29)</f>
        <v>1.6958333333333335</v>
      </c>
      <c r="L91" s="2">
        <f>SMALL(K84:K100,8)</f>
        <v>1.5416666666666667</v>
      </c>
      <c r="M91">
        <f>INDEX(I84:I100,MATCH(L91,K84:K100,))</f>
        <v>7</v>
      </c>
      <c r="N91" s="18">
        <f>INDEX(J84:J100,MATCH(L91,K84:K100,))</f>
        <v>8.3333333333333339</v>
      </c>
      <c r="P91">
        <v>8</v>
      </c>
      <c r="Q91" s="2">
        <f>'Obliczenia nośności H'!$K$27</f>
        <v>11.458333333333334</v>
      </c>
      <c r="R91" s="2">
        <f>IF($Q$91&lt;$O$9,0,'Obliczenia nośności H'!$K$43)</f>
        <v>3.265625</v>
      </c>
      <c r="S91" s="2">
        <f>SMALL(R84:R103,8)</f>
        <v>2.375</v>
      </c>
      <c r="T91">
        <f>INDEX(P84:P103,MATCH(S91,R84:R103,))</f>
        <v>5</v>
      </c>
      <c r="U91" s="18">
        <f>INDEX(Q84:Q103,MATCH(S91,R84:R103,))</f>
        <v>8.3333333333333339</v>
      </c>
    </row>
    <row r="92" spans="2:21" x14ac:dyDescent="0.25">
      <c r="B92">
        <v>9</v>
      </c>
      <c r="C92" s="2">
        <f>'Obliczenia nośności T'!$L$13</f>
        <v>12</v>
      </c>
      <c r="D92" s="2">
        <f>IF($C$92&lt;$O$9,0,'Obliczenia nośności T'!$L$29)</f>
        <v>3.6</v>
      </c>
      <c r="E92" s="2">
        <f>SMALL(D84:D100,9)</f>
        <v>3.2800000000000002</v>
      </c>
      <c r="F92">
        <f>INDEX(B84:B100,MATCH(E92,D84:D100,))</f>
        <v>8</v>
      </c>
      <c r="G92" s="18">
        <f>INDEX(C84:C100,MATCH(E92,D84:D100,))</f>
        <v>11</v>
      </c>
      <c r="I92">
        <v>9</v>
      </c>
      <c r="J92" s="2">
        <f>'Obliczenia nośności W'!$L$13</f>
        <v>10</v>
      </c>
      <c r="K92" s="2">
        <f>IF($J$92&lt;$O$9,0,'Obliczenia nośności W'!$L$29)</f>
        <v>1.85</v>
      </c>
      <c r="L92" s="2">
        <f>SMALL(K84:K100,9)</f>
        <v>1.6958333333333335</v>
      </c>
      <c r="M92">
        <f>INDEX(I84:I100,MATCH(L92,K84:K100,))</f>
        <v>8</v>
      </c>
      <c r="N92" s="18">
        <f>INDEX(J84:J100,MATCH(L92,K84:K100,))</f>
        <v>9.1666666666666679</v>
      </c>
      <c r="P92">
        <v>9</v>
      </c>
      <c r="Q92" s="2">
        <f>'Obliczenia nośności H'!$L$27</f>
        <v>12.5</v>
      </c>
      <c r="R92" s="2">
        <f>IF($Q$92&lt;$O$9,0,'Obliczenia nośności H'!$L$43)</f>
        <v>3.5625</v>
      </c>
      <c r="S92" s="2">
        <f>SMALL(R84:R103,9)</f>
        <v>2.671875</v>
      </c>
      <c r="T92">
        <f>INDEX(P84:P103,MATCH(S92,R84:R103,))</f>
        <v>6</v>
      </c>
      <c r="U92" s="18">
        <f>INDEX(Q84:Q103,MATCH(S92,R84:R103,))</f>
        <v>9.375</v>
      </c>
    </row>
    <row r="93" spans="2:21" x14ac:dyDescent="0.25">
      <c r="B93">
        <v>10</v>
      </c>
      <c r="C93" s="2">
        <f>'Obliczenia nośności T'!$M$13</f>
        <v>12</v>
      </c>
      <c r="D93" s="2">
        <f>IF($C$93&lt;$O$9,0,'Obliczenia nośności T'!$M$29)</f>
        <v>3.48</v>
      </c>
      <c r="E93" s="2">
        <f>SMALL(D84:D100,10)</f>
        <v>3.48</v>
      </c>
      <c r="F93">
        <f>INDEX(B84:B100,MATCH(E93,D84:D100,))</f>
        <v>10</v>
      </c>
      <c r="G93" s="18">
        <f>INDEX(C84:C100,MATCH(E93,D84:D100,))</f>
        <v>12</v>
      </c>
      <c r="I93">
        <v>10</v>
      </c>
      <c r="J93" s="2">
        <f>'Obliczenia nośności W'!$M$13</f>
        <v>10.833333333333334</v>
      </c>
      <c r="K93" s="2">
        <f>IF($J$93&lt;$O$9,0,'Obliczenia nośności W'!$M$29)</f>
        <v>2.0208333333333335</v>
      </c>
      <c r="L93" s="2">
        <f>SMALL(K84:K100,10)</f>
        <v>1.85</v>
      </c>
      <c r="M93">
        <f>INDEX(I84:I100,MATCH(L93,K84:K100,))</f>
        <v>9</v>
      </c>
      <c r="N93" s="18">
        <f>INDEX(J84:J100,MATCH(L93,K84:K100,))</f>
        <v>10</v>
      </c>
      <c r="P93">
        <v>10</v>
      </c>
      <c r="Q93" s="2">
        <f>'Obliczenia nośności H'!$M$27</f>
        <v>13.541666666666668</v>
      </c>
      <c r="R93" s="2">
        <f>IF($Q$93&lt;$O$9,0,'Obliczenia nośności H'!$M$43)</f>
        <v>3.8593749999999996</v>
      </c>
      <c r="S93" s="2">
        <f>SMALL(R84:R103,10)</f>
        <v>2.96875</v>
      </c>
      <c r="T93">
        <f>INDEX(P84:P103,MATCH(S93,R84:R103,))</f>
        <v>7</v>
      </c>
      <c r="U93" s="18">
        <f>INDEX(Q84:Q103,MATCH(S93,R84:R103,))</f>
        <v>10.416666666666668</v>
      </c>
    </row>
    <row r="94" spans="2:21" x14ac:dyDescent="0.25">
      <c r="B94">
        <v>11</v>
      </c>
      <c r="C94" s="2">
        <f>'Obliczenia nośności T'!$N$13</f>
        <v>13</v>
      </c>
      <c r="D94" s="2">
        <f>IF($C$94&lt;$O$9,0,'Obliczenia nośności T'!$N$29)</f>
        <v>3.92</v>
      </c>
      <c r="E94" s="2">
        <f>SMALL(D84:D100,11)</f>
        <v>3.6</v>
      </c>
      <c r="F94">
        <f>INDEX(B84:B100,MATCH(E94,D84:D100,))</f>
        <v>9</v>
      </c>
      <c r="G94" s="18">
        <f>INDEX(C84:C100,MATCH(E94,D84:D100,))</f>
        <v>12</v>
      </c>
      <c r="I94">
        <v>11</v>
      </c>
      <c r="J94" s="2">
        <f>'Obliczenia nośności W'!$N$13</f>
        <v>11.666666666666668</v>
      </c>
      <c r="K94" s="2">
        <f>IF($J$94&lt;$O$9,0,'Obliczenia nośności W'!$N$29)</f>
        <v>2.1916666666666669</v>
      </c>
      <c r="L94" s="2">
        <f>SMALL(K84:K100,11)</f>
        <v>2.0208333333333335</v>
      </c>
      <c r="M94">
        <f>INDEX(I84:I100,MATCH(L94,K84:K100,))</f>
        <v>10</v>
      </c>
      <c r="N94" s="18">
        <f>INDEX(J84:J100,MATCH(L94,K84:K100,))</f>
        <v>10.833333333333334</v>
      </c>
      <c r="P94">
        <v>11</v>
      </c>
      <c r="Q94" s="2">
        <f>'Obliczenia nośności H'!$N$27</f>
        <v>14.583333333333334</v>
      </c>
      <c r="R94" s="2">
        <f>IF($Q$94&lt;$O$9,0,'Obliczenia nośności H'!$N$43)</f>
        <v>4.15625</v>
      </c>
      <c r="S94" s="2">
        <f>SMALL(R84:R103,11)</f>
        <v>2.96875</v>
      </c>
      <c r="T94">
        <f>INDEX(P84:P103,MATCH(S94,R84:R103,))</f>
        <v>7</v>
      </c>
      <c r="U94" s="18">
        <f>INDEX(Q84:Q103,MATCH(S94,R84:R103,))</f>
        <v>10.416666666666668</v>
      </c>
    </row>
    <row r="95" spans="2:21" x14ac:dyDescent="0.25">
      <c r="B95">
        <v>12</v>
      </c>
      <c r="C95" s="2">
        <f>'Obliczenia nośności T'!$O$13</f>
        <v>13</v>
      </c>
      <c r="D95" s="2">
        <f>IF($C$95&lt;$O$9,0,'Obliczenia nośności T'!$O$29)</f>
        <v>3.8000000000000003</v>
      </c>
      <c r="E95" s="2">
        <f>SMALL(D84:D100,12)</f>
        <v>3.8000000000000003</v>
      </c>
      <c r="F95">
        <f>INDEX(B84:B100,MATCH(E95,D84:D100,))</f>
        <v>12</v>
      </c>
      <c r="G95" s="18">
        <f>INDEX(C84:C100,MATCH(E95,D84:D100,))</f>
        <v>13</v>
      </c>
      <c r="I95">
        <v>12</v>
      </c>
      <c r="J95" s="2">
        <f>'Obliczenia nośności W'!$O$13</f>
        <v>12.5</v>
      </c>
      <c r="K95" s="2">
        <f>IF($J$95&lt;$O$9,0,'Obliczenia nośności W'!$O$29)</f>
        <v>2.3624999999999998</v>
      </c>
      <c r="L95" s="2">
        <f>SMALL(K84:K100,12)</f>
        <v>2.1916666666666669</v>
      </c>
      <c r="M95">
        <f>INDEX(I84:I100,MATCH(L95,K84:K100,))</f>
        <v>11</v>
      </c>
      <c r="N95" s="18">
        <f>INDEX(J84:J100,MATCH(L95,K84:K100,))</f>
        <v>11.666666666666668</v>
      </c>
      <c r="P95">
        <v>12</v>
      </c>
      <c r="Q95" s="2">
        <f>'Obliczenia nośności H'!$O$27</f>
        <v>15.625</v>
      </c>
      <c r="R95" s="2">
        <f>IF($Q$95&lt;$O$9,0,'Obliczenia nośności H'!$O$43)</f>
        <v>4.453125</v>
      </c>
      <c r="S95" s="2">
        <f>SMALL(R84:R103,12)</f>
        <v>3.265625</v>
      </c>
      <c r="T95">
        <f>INDEX(P84:P103,MATCH(S95,R84:R103,))</f>
        <v>8</v>
      </c>
      <c r="U95" s="18">
        <f>INDEX(Q84:Q103,MATCH(S95,R84:R103,))</f>
        <v>11.458333333333334</v>
      </c>
    </row>
    <row r="96" spans="2:21" x14ac:dyDescent="0.25">
      <c r="B96">
        <v>13</v>
      </c>
      <c r="C96" s="2">
        <f>'Obliczenia nośności T'!$P$13</f>
        <v>14</v>
      </c>
      <c r="D96" s="2">
        <f>IF($C$96&lt;$O$9,0,'Obliczenia nośności T'!$P$29)</f>
        <v>4.24</v>
      </c>
      <c r="E96" s="2">
        <f>SMALL(D84:D100,13)</f>
        <v>3.92</v>
      </c>
      <c r="F96">
        <f>INDEX(B84:B100,MATCH(E96,D84:D100,))</f>
        <v>11</v>
      </c>
      <c r="G96" s="18">
        <f>INDEX(C84:C100,MATCH(E96,D84:D100,))</f>
        <v>13</v>
      </c>
      <c r="I96">
        <v>13</v>
      </c>
      <c r="J96" s="2">
        <f>'Obliczenia nośności W'!$P$13</f>
        <v>13.333333333333334</v>
      </c>
      <c r="K96" s="2">
        <f>IF($J$96&lt;$O$9,0,'Obliczenia nośności W'!$P$29)</f>
        <v>2.5333333333333332</v>
      </c>
      <c r="L96" s="2">
        <f>SMALL(K84:K100,13)</f>
        <v>2.3624999999999998</v>
      </c>
      <c r="M96">
        <f>INDEX(I84:I100,MATCH(L96,K84:K100,))</f>
        <v>12</v>
      </c>
      <c r="N96" s="18">
        <f>INDEX(J84:J100,MATCH(L96,K84:K100,))</f>
        <v>12.5</v>
      </c>
      <c r="P96">
        <v>13</v>
      </c>
      <c r="Q96" s="2">
        <f>'Obliczenia nośności H'!$P$27</f>
        <v>4.166666666666667</v>
      </c>
      <c r="R96" s="2">
        <f>IF($Q$96&lt;$O$9,0,'Obliczenia nośności H'!$P$43)</f>
        <v>0</v>
      </c>
      <c r="S96" s="2">
        <f>SMALL(R84:R103,13)</f>
        <v>3.5624999999999996</v>
      </c>
      <c r="T96">
        <f>INDEX(P84:P103,MATCH(S96,R84:R103,))</f>
        <v>17</v>
      </c>
      <c r="U96" s="18">
        <f>INDEX(Q84:Q103,MATCH(S96,R84:R103,))</f>
        <v>12.5</v>
      </c>
    </row>
    <row r="97" spans="2:21" x14ac:dyDescent="0.25">
      <c r="B97">
        <v>14</v>
      </c>
      <c r="C97" s="2">
        <f>'Obliczenia nośności T'!$Q$13</f>
        <v>14</v>
      </c>
      <c r="D97" s="2">
        <f>IF($C$97&lt;$O$9,0,'Obliczenia nośności T'!$Q$29)</f>
        <v>4.12</v>
      </c>
      <c r="E97" s="2">
        <f>SMALL(D84:D100,14)</f>
        <v>4.12</v>
      </c>
      <c r="F97">
        <f>INDEX(B84:B100,MATCH(E97,D84:D100,))</f>
        <v>14</v>
      </c>
      <c r="G97" s="18">
        <f>INDEX(C84:C100,MATCH(E97,D84:D100,))</f>
        <v>14</v>
      </c>
      <c r="I97">
        <v>14</v>
      </c>
      <c r="J97" s="2">
        <f>'Obliczenia nośności W'!$Q$13</f>
        <v>3.3333333333333335</v>
      </c>
      <c r="K97" s="2">
        <f>IF($J$97&lt;$O$9,0,'Obliczenia nośności W'!$Q$29)</f>
        <v>0</v>
      </c>
      <c r="L97" s="2">
        <f>SMALL(K84:K100,14)</f>
        <v>2.5333333333333332</v>
      </c>
      <c r="M97">
        <f>INDEX(I84:I100,MATCH(L97,K84:K100,))</f>
        <v>13</v>
      </c>
      <c r="N97" s="18">
        <f>INDEX(J84:J100,MATCH(L97,K84:K100,))</f>
        <v>13.333333333333334</v>
      </c>
      <c r="P97">
        <v>14</v>
      </c>
      <c r="Q97" s="2">
        <f>'Obliczenia nośności H'!$Q$27</f>
        <v>6.25</v>
      </c>
      <c r="R97" s="2">
        <f>IF($Q$97&lt;$O$9,0,'Obliczenia nośności H'!$Q$43)</f>
        <v>1.7812499999999998</v>
      </c>
      <c r="S97" s="2">
        <f>SMALL(R84:R103,14)</f>
        <v>3.5625</v>
      </c>
      <c r="T97">
        <f>INDEX(P84:P103,MATCH(S97,R84:R103,))</f>
        <v>9</v>
      </c>
      <c r="U97" s="18">
        <f>INDEX(Q84:Q103,MATCH(S97,R84:R103,))</f>
        <v>12.5</v>
      </c>
    </row>
    <row r="98" spans="2:21" x14ac:dyDescent="0.25">
      <c r="B98">
        <v>15</v>
      </c>
      <c r="C98" s="2">
        <f>'Obliczenia nośności T'!$R$13</f>
        <v>15</v>
      </c>
      <c r="D98" s="2">
        <f>IF($C$98&lt;$O$9,0,'Obliczenia nośności T'!$R$29)</f>
        <v>4.4399999999999995</v>
      </c>
      <c r="E98" s="2">
        <f>SMALL(D84:D100,15)</f>
        <v>4.24</v>
      </c>
      <c r="F98">
        <f>INDEX(B84:B100,MATCH(E98,D84:D100,))</f>
        <v>13</v>
      </c>
      <c r="G98" s="18">
        <f>INDEX(C84:C100,MATCH(E98,D84:D100,))</f>
        <v>14</v>
      </c>
      <c r="J98" s="2"/>
      <c r="K98" s="2"/>
      <c r="L98" s="2"/>
      <c r="N98" s="18"/>
      <c r="P98">
        <v>15</v>
      </c>
      <c r="Q98" s="2">
        <f>'Obliczenia nośności H'!$R$27</f>
        <v>8.3333333333333339</v>
      </c>
      <c r="R98" s="2">
        <f>IF($Q$98&lt;$O$9,0,'Obliczenia nośności H'!$R$43)</f>
        <v>2.375</v>
      </c>
      <c r="S98" s="2">
        <f>SMALL(R84:R103,15)</f>
        <v>3.8593749999999996</v>
      </c>
      <c r="T98">
        <f>INDEX(P84:P103,MATCH(S98,R84:R103,))</f>
        <v>10</v>
      </c>
      <c r="U98" s="18">
        <f>INDEX(Q84:Q103,MATCH(S98,R84:R103,))</f>
        <v>13.541666666666668</v>
      </c>
    </row>
    <row r="99" spans="2:21" x14ac:dyDescent="0.25">
      <c r="B99">
        <v>16</v>
      </c>
      <c r="C99" s="2">
        <f>'Obliczenia nośności T'!$S$13</f>
        <v>16</v>
      </c>
      <c r="D99" s="2">
        <f>IF($C$99&lt;$O$9,0,'Obliczenia nośności T'!$S$29)</f>
        <v>4.76</v>
      </c>
      <c r="E99" s="2">
        <f>SMALL(D84:D100,16)</f>
        <v>4.4399999999999995</v>
      </c>
      <c r="F99">
        <f>INDEX(B84:B100,MATCH(E99,D84:D100,))</f>
        <v>15</v>
      </c>
      <c r="G99" s="18">
        <f>INDEX(C84:C100,MATCH(E99,D84:D100,))</f>
        <v>15</v>
      </c>
      <c r="J99" s="2"/>
      <c r="K99" s="2"/>
      <c r="L99" s="2"/>
      <c r="N99" s="18"/>
      <c r="P99">
        <v>16</v>
      </c>
      <c r="Q99" s="2">
        <f>'Obliczenia nośności H'!$S$27</f>
        <v>10.416666666666668</v>
      </c>
      <c r="R99" s="2">
        <f>IF($Q$99&lt;$O$9,0,'Obliczenia nośności H'!$S$43)</f>
        <v>2.96875</v>
      </c>
      <c r="S99" s="2">
        <f>SMALL(R84:R103,16)</f>
        <v>4.15625</v>
      </c>
      <c r="T99">
        <f>INDEX(P84:P103,MATCH(S99,R84:R103,))</f>
        <v>11</v>
      </c>
      <c r="U99" s="18">
        <f>INDEX(Q84:Q103,MATCH(S99,R84:R103,))</f>
        <v>14.583333333333334</v>
      </c>
    </row>
    <row r="100" spans="2:21" x14ac:dyDescent="0.25">
      <c r="B100">
        <v>17</v>
      </c>
      <c r="C100" s="2">
        <f>'Obliczenia nośności T'!$T$13</f>
        <v>10</v>
      </c>
      <c r="D100" s="2">
        <f>IF($C$100&lt;$O$9,0,'Obliczenia nośności T'!$T$29)</f>
        <v>2.84</v>
      </c>
      <c r="E100" s="2">
        <f>SMALL(D84:D100,17)</f>
        <v>4.76</v>
      </c>
      <c r="F100">
        <f>INDEX(B84:B100,MATCH(E100,D84:D100,))</f>
        <v>16</v>
      </c>
      <c r="G100" s="18">
        <f>INDEX(C84:C100,MATCH(E100,D84:D100,))</f>
        <v>16</v>
      </c>
      <c r="J100" s="2"/>
      <c r="K100" s="2"/>
      <c r="L100" s="2"/>
      <c r="N100" s="18"/>
      <c r="P100">
        <v>17</v>
      </c>
      <c r="Q100" s="2">
        <f>'Obliczenia nośności H'!$T$27</f>
        <v>12.5</v>
      </c>
      <c r="R100" s="2">
        <f>IF($Q$100&lt;$O$9,0,'Obliczenia nośności H'!$T$43)</f>
        <v>3.5624999999999996</v>
      </c>
      <c r="S100" s="2">
        <f>SMALL(R84:R103,17)</f>
        <v>4.15625</v>
      </c>
      <c r="T100">
        <f>INDEX(P84:P103,MATCH(S100,R84:R103,))</f>
        <v>11</v>
      </c>
      <c r="U100" s="18">
        <f>INDEX(Q84:Q103,MATCH(S100,R84:R103,))</f>
        <v>14.583333333333334</v>
      </c>
    </row>
    <row r="101" spans="2:21" x14ac:dyDescent="0.25">
      <c r="P101">
        <v>18</v>
      </c>
      <c r="Q101" s="2">
        <f>'Obliczenia nośności H'!$U$27</f>
        <v>14.583333333333334</v>
      </c>
      <c r="R101" s="2">
        <f>IF($Q$101&lt;$O$9,0,'Obliczenia nośności H'!$U$43)</f>
        <v>4.15625</v>
      </c>
      <c r="S101" s="2">
        <f>SMALL(R84:R103,18)</f>
        <v>4.453125</v>
      </c>
      <c r="T101">
        <f>INDEX(P84:P103,MATCH(S101,R84:R103,))</f>
        <v>12</v>
      </c>
      <c r="U101" s="18">
        <f>INDEX(Q84:Q103,MATCH(S101,R84:R103,))</f>
        <v>15.625</v>
      </c>
    </row>
    <row r="102" spans="2:21" x14ac:dyDescent="0.25">
      <c r="P102">
        <v>19</v>
      </c>
      <c r="Q102" s="2">
        <f>'Obliczenia nośności H'!$V$27</f>
        <v>16.666666666666668</v>
      </c>
      <c r="R102" s="2">
        <f>IF($Q$102&lt;$O$9,0,'Obliczenia nośności H'!$V$43)</f>
        <v>4.75</v>
      </c>
      <c r="S102" s="2">
        <f>SMALL(R84:R103,19)</f>
        <v>4.75</v>
      </c>
      <c r="T102">
        <f>INDEX(P84:P103,MATCH(S102,R84:R103,))</f>
        <v>19</v>
      </c>
      <c r="U102" s="18">
        <f>INDEX(Q84:Q103,MATCH(S102,R84:R103,))</f>
        <v>16.666666666666668</v>
      </c>
    </row>
    <row r="103" spans="2:21" x14ac:dyDescent="0.25">
      <c r="P103">
        <v>20</v>
      </c>
      <c r="Q103" s="2">
        <f>'Obliczenia nośności H'!$W$27</f>
        <v>20.833333333333336</v>
      </c>
      <c r="R103" s="2">
        <f>IF($Q$103&lt;$O$9,0,'Obliczenia nośności H'!$W$43)</f>
        <v>5.9375</v>
      </c>
      <c r="S103" s="2">
        <f>SMALL(R84:R103,20)</f>
        <v>5.9375</v>
      </c>
      <c r="T103">
        <f>INDEX(P84:P103,MATCH(S103,R84:R103,))</f>
        <v>20</v>
      </c>
      <c r="U103" s="18">
        <f>INDEX(Q84:Q103,MATCH(S103,R84:R103,))</f>
        <v>20.833333333333336</v>
      </c>
    </row>
    <row r="104" spans="2:21" x14ac:dyDescent="0.25">
      <c r="L104" s="16"/>
    </row>
  </sheetData>
  <sheetProtection algorithmName="SHA-512" hashValue="UYKyTPUZGj11mv0CpuSdMzCASWAbu+4mHqokxhSj6nbrBc0zY/P2/Zwtyu7eJaII3QePivmDRLHPDyMP6yJ+Qw==" saltValue="3B32475MZdEL74QAhgxOSA==" spinCount="100000" sheet="1" objects="1" scenarios="1"/>
  <mergeCells count="93">
    <mergeCell ref="I47:I48"/>
    <mergeCell ref="I44:I46"/>
    <mergeCell ref="J44:J46"/>
    <mergeCell ref="I10:N10"/>
    <mergeCell ref="J12:N14"/>
    <mergeCell ref="I15:I18"/>
    <mergeCell ref="J15:J18"/>
    <mergeCell ref="K15:K18"/>
    <mergeCell ref="L15:L18"/>
    <mergeCell ref="M15:M18"/>
    <mergeCell ref="N15:N18"/>
    <mergeCell ref="K44:K46"/>
    <mergeCell ref="L44:L46"/>
    <mergeCell ref="N44:N46"/>
    <mergeCell ref="J47:J48"/>
    <mergeCell ref="K47:K48"/>
    <mergeCell ref="B2:V3"/>
    <mergeCell ref="B4:V4"/>
    <mergeCell ref="B6:V6"/>
    <mergeCell ref="I8:N8"/>
    <mergeCell ref="I9:N9"/>
    <mergeCell ref="O19:O20"/>
    <mergeCell ref="I21:I23"/>
    <mergeCell ref="J21:J23"/>
    <mergeCell ref="K21:K23"/>
    <mergeCell ref="L21:L23"/>
    <mergeCell ref="M21:M23"/>
    <mergeCell ref="N21:N23"/>
    <mergeCell ref="O21:O23"/>
    <mergeCell ref="I19:I20"/>
    <mergeCell ref="J19:J20"/>
    <mergeCell ref="K19:K20"/>
    <mergeCell ref="L19:L20"/>
    <mergeCell ref="M19:M20"/>
    <mergeCell ref="N19:N20"/>
    <mergeCell ref="E24:E43"/>
    <mergeCell ref="F24:F43"/>
    <mergeCell ref="G24:G27"/>
    <mergeCell ref="H24:H27"/>
    <mergeCell ref="I24:I27"/>
    <mergeCell ref="G36:G39"/>
    <mergeCell ref="H36:H39"/>
    <mergeCell ref="I36:I39"/>
    <mergeCell ref="G32:G35"/>
    <mergeCell ref="H32:H35"/>
    <mergeCell ref="I32:I35"/>
    <mergeCell ref="G28:G31"/>
    <mergeCell ref="H28:H31"/>
    <mergeCell ref="I28:I31"/>
    <mergeCell ref="G40:G43"/>
    <mergeCell ref="H40:H43"/>
    <mergeCell ref="R24:R43"/>
    <mergeCell ref="J25:J26"/>
    <mergeCell ref="O28:O31"/>
    <mergeCell ref="O24:O27"/>
    <mergeCell ref="N33:N34"/>
    <mergeCell ref="Q28:Q31"/>
    <mergeCell ref="J29:J30"/>
    <mergeCell ref="O32:O35"/>
    <mergeCell ref="Q32:Q35"/>
    <mergeCell ref="J33:J34"/>
    <mergeCell ref="L33:L34"/>
    <mergeCell ref="P28:P31"/>
    <mergeCell ref="P32:P35"/>
    <mergeCell ref="O36:O39"/>
    <mergeCell ref="Q36:Q39"/>
    <mergeCell ref="J37:J38"/>
    <mergeCell ref="I40:I43"/>
    <mergeCell ref="O40:O43"/>
    <mergeCell ref="Q40:Q43"/>
    <mergeCell ref="J41:J42"/>
    <mergeCell ref="P36:P39"/>
    <mergeCell ref="P40:P43"/>
    <mergeCell ref="K24:K43"/>
    <mergeCell ref="P24:P27"/>
    <mergeCell ref="Q24:Q27"/>
    <mergeCell ref="B81:G81"/>
    <mergeCell ref="I81:N81"/>
    <mergeCell ref="I49:I52"/>
    <mergeCell ref="J49:J52"/>
    <mergeCell ref="K49:K52"/>
    <mergeCell ref="L49:L52"/>
    <mergeCell ref="M49:M52"/>
    <mergeCell ref="N49:N52"/>
    <mergeCell ref="L47:L48"/>
    <mergeCell ref="M47:M48"/>
    <mergeCell ref="N47:N48"/>
    <mergeCell ref="M44:M46"/>
    <mergeCell ref="P81:U81"/>
    <mergeCell ref="J53:N55"/>
    <mergeCell ref="J56:N58"/>
    <mergeCell ref="J61:N61"/>
    <mergeCell ref="J72:N72"/>
  </mergeCells>
  <conditionalFormatting sqref="J21:N21 O24 J44:N44 I24 I28 I32 I36 I40 O28 O32 O36 O40">
    <cfRule type="colorScale" priority="2">
      <colorScale>
        <cfvo type="min"/>
        <cfvo type="max"/>
        <color rgb="FFFFFF00"/>
        <color rgb="FFFF0000"/>
      </colorScale>
    </cfRule>
  </conditionalFormatting>
  <conditionalFormatting sqref="J19:N19 P24 J47:N47 H24 H28 H32 H36 H40 P28 P32 P36 P40">
    <cfRule type="colorScale" priority="1">
      <colorScale>
        <cfvo type="min"/>
        <cfvo type="max"/>
        <color rgb="FF29C7FF"/>
        <color rgb="FF00B050"/>
      </colorScale>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V47"/>
  <sheetViews>
    <sheetView zoomScaleNormal="100" workbookViewId="0">
      <selection activeCell="B2" sqref="B2:V3"/>
    </sheetView>
  </sheetViews>
  <sheetFormatPr defaultRowHeight="15" x14ac:dyDescent="0.25"/>
  <sheetData>
    <row r="2" spans="2:22" ht="15" customHeight="1" x14ac:dyDescent="0.25">
      <c r="B2" s="226" t="s">
        <v>252</v>
      </c>
      <c r="C2" s="226"/>
      <c r="D2" s="226"/>
      <c r="E2" s="226"/>
      <c r="F2" s="226"/>
      <c r="G2" s="226"/>
      <c r="H2" s="226"/>
      <c r="I2" s="226"/>
      <c r="J2" s="226"/>
      <c r="K2" s="226"/>
      <c r="L2" s="226"/>
      <c r="M2" s="226"/>
      <c r="N2" s="226"/>
      <c r="O2" s="226"/>
      <c r="P2" s="226"/>
      <c r="Q2" s="226"/>
      <c r="R2" s="226"/>
      <c r="S2" s="226"/>
      <c r="T2" s="226"/>
      <c r="U2" s="226"/>
      <c r="V2" s="226"/>
    </row>
    <row r="3" spans="2:22" ht="15" customHeight="1" x14ac:dyDescent="0.25">
      <c r="B3" s="226"/>
      <c r="C3" s="226"/>
      <c r="D3" s="226"/>
      <c r="E3" s="226"/>
      <c r="F3" s="226"/>
      <c r="G3" s="226"/>
      <c r="H3" s="226"/>
      <c r="I3" s="226"/>
      <c r="J3" s="226"/>
      <c r="K3" s="226"/>
      <c r="L3" s="226"/>
      <c r="M3" s="226"/>
      <c r="N3" s="226"/>
      <c r="O3" s="226"/>
      <c r="P3" s="226"/>
      <c r="Q3" s="226"/>
      <c r="R3" s="226"/>
      <c r="S3" s="226"/>
      <c r="T3" s="226"/>
      <c r="U3" s="226"/>
      <c r="V3" s="226"/>
    </row>
    <row r="5" spans="2:22" x14ac:dyDescent="0.25">
      <c r="F5" s="216"/>
      <c r="G5" s="216"/>
      <c r="H5" s="216"/>
      <c r="I5" s="216"/>
      <c r="J5" s="216"/>
      <c r="K5" s="216"/>
      <c r="L5" s="216"/>
      <c r="M5" s="216"/>
      <c r="N5" s="216"/>
      <c r="O5" s="216"/>
      <c r="P5" s="216"/>
      <c r="Q5" s="216"/>
      <c r="R5" s="216"/>
    </row>
    <row r="6" spans="2:22" x14ac:dyDescent="0.25">
      <c r="F6" s="216"/>
      <c r="G6" s="216"/>
      <c r="H6" s="216"/>
      <c r="I6" s="216"/>
      <c r="J6" s="216"/>
      <c r="K6" s="216"/>
      <c r="L6" s="216"/>
      <c r="M6" s="216"/>
      <c r="N6" s="216"/>
      <c r="O6" s="216"/>
      <c r="P6" s="216"/>
      <c r="Q6" s="216"/>
      <c r="R6" s="216"/>
    </row>
    <row r="7" spans="2:22" x14ac:dyDescent="0.25">
      <c r="F7" s="216"/>
      <c r="G7" s="216"/>
      <c r="H7" s="216"/>
      <c r="I7" s="216"/>
      <c r="J7" s="216"/>
      <c r="K7" s="216"/>
      <c r="L7" s="216"/>
      <c r="M7" s="216"/>
      <c r="N7" s="216"/>
      <c r="O7" s="216"/>
      <c r="P7" s="216"/>
      <c r="Q7" s="216"/>
      <c r="R7" s="216"/>
    </row>
    <row r="8" spans="2:22" x14ac:dyDescent="0.25">
      <c r="F8" s="216"/>
      <c r="G8" s="216"/>
      <c r="H8" s="216"/>
      <c r="I8" s="216"/>
      <c r="J8" s="216"/>
      <c r="K8" s="216"/>
      <c r="L8" s="216"/>
      <c r="M8" s="216"/>
      <c r="N8" s="216"/>
      <c r="O8" s="216"/>
      <c r="P8" s="216"/>
      <c r="Q8" s="216"/>
      <c r="R8" s="216"/>
    </row>
    <row r="9" spans="2:22" x14ac:dyDescent="0.25">
      <c r="F9" s="216"/>
      <c r="G9" s="216"/>
      <c r="H9" s="216"/>
      <c r="I9" s="216"/>
      <c r="J9" s="216"/>
      <c r="K9" s="216"/>
      <c r="L9" s="216"/>
      <c r="M9" s="216"/>
      <c r="N9" s="216"/>
      <c r="O9" s="216"/>
      <c r="P9" s="216"/>
      <c r="Q9" s="216"/>
      <c r="R9" s="216"/>
    </row>
    <row r="10" spans="2:22" x14ac:dyDescent="0.25">
      <c r="F10" s="216"/>
      <c r="G10" s="216"/>
      <c r="H10" s="216"/>
      <c r="I10" s="216"/>
      <c r="J10" s="216"/>
      <c r="K10" s="216"/>
      <c r="L10" s="216"/>
      <c r="M10" s="216"/>
      <c r="N10" s="216"/>
      <c r="O10" s="216"/>
      <c r="P10" s="216"/>
      <c r="Q10" s="216"/>
      <c r="R10" s="216"/>
    </row>
    <row r="11" spans="2:22" x14ac:dyDescent="0.25">
      <c r="F11" s="216"/>
      <c r="G11" s="216"/>
      <c r="H11" s="216"/>
      <c r="I11" s="216"/>
      <c r="J11" s="216"/>
      <c r="K11" s="216"/>
      <c r="L11" s="216"/>
      <c r="M11" s="216"/>
      <c r="N11" s="216"/>
      <c r="O11" s="216"/>
      <c r="P11" s="216"/>
      <c r="Q11" s="216"/>
      <c r="R11" s="216"/>
    </row>
    <row r="12" spans="2:22" x14ac:dyDescent="0.25">
      <c r="F12" s="216"/>
      <c r="G12" s="216"/>
      <c r="H12" s="216"/>
      <c r="I12" s="216"/>
      <c r="J12" s="216"/>
      <c r="K12" s="216"/>
      <c r="L12" s="216"/>
      <c r="M12" s="216"/>
      <c r="N12" s="216"/>
      <c r="O12" s="216"/>
      <c r="P12" s="216"/>
      <c r="Q12" s="216"/>
      <c r="R12" s="216"/>
    </row>
    <row r="13" spans="2:22" x14ac:dyDescent="0.25">
      <c r="F13" s="216"/>
      <c r="G13" s="216"/>
      <c r="H13" s="216"/>
      <c r="I13" s="216"/>
      <c r="J13" s="216"/>
      <c r="K13" s="216"/>
      <c r="L13" s="216"/>
      <c r="M13" s="216"/>
      <c r="N13" s="216"/>
      <c r="O13" s="216"/>
      <c r="P13" s="216"/>
      <c r="Q13" s="216"/>
      <c r="R13" s="216"/>
    </row>
    <row r="14" spans="2:22" x14ac:dyDescent="0.25">
      <c r="F14" s="216"/>
      <c r="G14" s="216"/>
      <c r="H14" s="216"/>
      <c r="I14" s="216"/>
      <c r="J14" s="216"/>
      <c r="K14" s="216"/>
      <c r="L14" s="216"/>
      <c r="M14" s="216"/>
      <c r="N14" s="216"/>
      <c r="O14" s="216"/>
      <c r="P14" s="216"/>
      <c r="Q14" s="216"/>
      <c r="R14" s="216"/>
    </row>
    <row r="15" spans="2:22" x14ac:dyDescent="0.25">
      <c r="F15" s="216"/>
      <c r="G15" s="216"/>
      <c r="H15" s="216"/>
      <c r="I15" s="216"/>
      <c r="J15" s="216"/>
      <c r="K15" s="216"/>
      <c r="L15" s="216"/>
      <c r="M15" s="216"/>
      <c r="N15" s="216"/>
      <c r="O15" s="216"/>
      <c r="P15" s="216"/>
      <c r="Q15" s="216"/>
      <c r="R15" s="216"/>
    </row>
    <row r="16" spans="2:22" x14ac:dyDescent="0.25">
      <c r="F16" s="216"/>
      <c r="G16" s="216"/>
      <c r="H16" s="216"/>
      <c r="I16" s="216"/>
      <c r="J16" s="216"/>
      <c r="K16" s="216"/>
      <c r="L16" s="216"/>
      <c r="M16" s="216"/>
      <c r="N16" s="216"/>
      <c r="O16" s="216"/>
      <c r="P16" s="216"/>
      <c r="Q16" s="216"/>
      <c r="R16" s="216"/>
    </row>
    <row r="17" spans="6:18" x14ac:dyDescent="0.25">
      <c r="F17" s="216"/>
      <c r="G17" s="216"/>
      <c r="H17" s="216"/>
      <c r="I17" s="216"/>
      <c r="J17" s="216"/>
      <c r="K17" s="216"/>
      <c r="L17" s="216"/>
      <c r="M17" s="216"/>
      <c r="N17" s="216"/>
      <c r="O17" s="216"/>
      <c r="P17" s="216"/>
      <c r="Q17" s="216"/>
      <c r="R17" s="216"/>
    </row>
    <row r="18" spans="6:18" x14ac:dyDescent="0.25">
      <c r="F18" s="216"/>
      <c r="G18" s="216"/>
      <c r="H18" s="216"/>
      <c r="I18" s="216"/>
      <c r="J18" s="216"/>
      <c r="K18" s="216"/>
      <c r="L18" s="216"/>
      <c r="M18" s="216"/>
      <c r="N18" s="216"/>
      <c r="O18" s="216"/>
      <c r="P18" s="216"/>
      <c r="Q18" s="216"/>
      <c r="R18" s="216"/>
    </row>
    <row r="19" spans="6:18" x14ac:dyDescent="0.25">
      <c r="F19" s="216"/>
      <c r="G19" s="216"/>
      <c r="H19" s="216"/>
      <c r="I19" s="216"/>
      <c r="J19" s="216"/>
      <c r="K19" s="216"/>
      <c r="L19" s="216"/>
      <c r="M19" s="216"/>
      <c r="N19" s="216"/>
      <c r="O19" s="216"/>
      <c r="P19" s="216"/>
      <c r="Q19" s="216"/>
      <c r="R19" s="216"/>
    </row>
    <row r="20" spans="6:18" x14ac:dyDescent="0.25">
      <c r="F20" s="216"/>
      <c r="G20" s="216"/>
      <c r="H20" s="216"/>
      <c r="I20" s="216"/>
      <c r="J20" s="216"/>
      <c r="K20" s="216"/>
      <c r="L20" s="216"/>
      <c r="M20" s="216"/>
      <c r="N20" s="216"/>
      <c r="O20" s="216"/>
      <c r="P20" s="216"/>
      <c r="Q20" s="216"/>
      <c r="R20" s="216"/>
    </row>
    <row r="21" spans="6:18" x14ac:dyDescent="0.25">
      <c r="F21" s="216"/>
      <c r="G21" s="216"/>
      <c r="H21" s="216"/>
      <c r="I21" s="216"/>
      <c r="J21" s="216"/>
      <c r="K21" s="216"/>
      <c r="L21" s="216"/>
      <c r="M21" s="216"/>
      <c r="N21" s="216"/>
      <c r="O21" s="216"/>
      <c r="P21" s="216"/>
      <c r="Q21" s="216"/>
      <c r="R21" s="216"/>
    </row>
    <row r="22" spans="6:18" x14ac:dyDescent="0.25">
      <c r="F22" s="216"/>
      <c r="G22" s="216"/>
      <c r="H22" s="216"/>
      <c r="I22" s="216"/>
      <c r="J22" s="216"/>
      <c r="K22" s="216"/>
      <c r="L22" s="216"/>
      <c r="M22" s="216"/>
      <c r="N22" s="216"/>
      <c r="O22" s="216"/>
      <c r="P22" s="216"/>
      <c r="Q22" s="216"/>
      <c r="R22" s="216"/>
    </row>
    <row r="23" spans="6:18" x14ac:dyDescent="0.25">
      <c r="F23" s="216"/>
      <c r="G23" s="216"/>
      <c r="H23" s="216"/>
      <c r="I23" s="216"/>
      <c r="J23" s="216"/>
      <c r="K23" s="216"/>
      <c r="L23" s="216"/>
      <c r="M23" s="216"/>
      <c r="N23" s="216"/>
      <c r="O23" s="216"/>
      <c r="P23" s="216"/>
      <c r="Q23" s="216"/>
      <c r="R23" s="216"/>
    </row>
    <row r="24" spans="6:18" x14ac:dyDescent="0.25">
      <c r="F24" s="216"/>
      <c r="G24" s="216"/>
      <c r="H24" s="216"/>
      <c r="I24" s="216"/>
      <c r="J24" s="216"/>
      <c r="K24" s="216"/>
      <c r="L24" s="216"/>
      <c r="M24" s="216"/>
      <c r="N24" s="216"/>
      <c r="O24" s="216"/>
      <c r="P24" s="216"/>
      <c r="Q24" s="216"/>
      <c r="R24" s="216"/>
    </row>
    <row r="25" spans="6:18" x14ac:dyDescent="0.25">
      <c r="F25" s="216"/>
      <c r="G25" s="216"/>
      <c r="H25" s="216"/>
      <c r="I25" s="216"/>
      <c r="J25" s="216"/>
      <c r="K25" s="216"/>
      <c r="L25" s="216"/>
      <c r="M25" s="216"/>
      <c r="N25" s="216"/>
      <c r="O25" s="216"/>
      <c r="P25" s="216"/>
      <c r="Q25" s="216"/>
      <c r="R25" s="216"/>
    </row>
    <row r="26" spans="6:18" x14ac:dyDescent="0.25">
      <c r="F26" s="216"/>
      <c r="G26" s="216"/>
      <c r="H26" s="216"/>
      <c r="I26" s="216"/>
      <c r="J26" s="216"/>
      <c r="K26" s="216"/>
      <c r="L26" s="216"/>
      <c r="M26" s="216"/>
      <c r="N26" s="216"/>
      <c r="O26" s="216"/>
      <c r="P26" s="216"/>
      <c r="Q26" s="216"/>
      <c r="R26" s="216"/>
    </row>
    <row r="27" spans="6:18" x14ac:dyDescent="0.25">
      <c r="F27" s="216"/>
      <c r="G27" s="216"/>
      <c r="H27" s="216"/>
      <c r="I27" s="216"/>
      <c r="J27" s="216"/>
      <c r="K27" s="216"/>
      <c r="L27" s="216"/>
      <c r="M27" s="216"/>
      <c r="N27" s="216"/>
      <c r="O27" s="216"/>
      <c r="P27" s="216"/>
      <c r="Q27" s="216"/>
      <c r="R27" s="216"/>
    </row>
    <row r="28" spans="6:18" x14ac:dyDescent="0.25">
      <c r="F28" s="216"/>
      <c r="G28" s="216"/>
      <c r="H28" s="216"/>
      <c r="I28" s="216"/>
      <c r="J28" s="216"/>
      <c r="K28" s="216"/>
      <c r="L28" s="216"/>
      <c r="M28" s="216"/>
      <c r="N28" s="216"/>
      <c r="O28" s="216"/>
      <c r="P28" s="216"/>
      <c r="Q28" s="216"/>
      <c r="R28" s="216"/>
    </row>
    <row r="29" spans="6:18" x14ac:dyDescent="0.25">
      <c r="F29" s="216"/>
      <c r="G29" s="216"/>
      <c r="H29" s="216"/>
      <c r="I29" s="216"/>
      <c r="J29" s="216"/>
      <c r="K29" s="216"/>
      <c r="L29" s="216"/>
      <c r="M29" s="216"/>
      <c r="N29" s="216"/>
      <c r="O29" s="216"/>
      <c r="P29" s="216"/>
      <c r="Q29" s="216"/>
      <c r="R29" s="216"/>
    </row>
    <row r="30" spans="6:18" x14ac:dyDescent="0.25">
      <c r="F30" s="216"/>
      <c r="G30" s="216"/>
      <c r="H30" s="216"/>
      <c r="I30" s="216"/>
      <c r="J30" s="216"/>
      <c r="K30" s="216"/>
      <c r="L30" s="216"/>
      <c r="M30" s="216"/>
      <c r="N30" s="216"/>
      <c r="O30" s="216"/>
      <c r="P30" s="216"/>
      <c r="Q30" s="216"/>
      <c r="R30" s="216"/>
    </row>
    <row r="31" spans="6:18" x14ac:dyDescent="0.25">
      <c r="F31" s="216"/>
      <c r="G31" s="216"/>
      <c r="H31" s="216"/>
      <c r="I31" s="216"/>
      <c r="J31" s="216"/>
      <c r="K31" s="216"/>
      <c r="L31" s="216"/>
      <c r="M31" s="216"/>
      <c r="N31" s="216"/>
      <c r="O31" s="216"/>
      <c r="P31" s="216"/>
      <c r="Q31" s="216"/>
      <c r="R31" s="216"/>
    </row>
    <row r="32" spans="6:18" x14ac:dyDescent="0.25">
      <c r="F32" s="29"/>
      <c r="G32" s="29"/>
      <c r="H32" s="29"/>
      <c r="I32" s="29"/>
      <c r="J32" s="29"/>
      <c r="K32" s="29"/>
      <c r="L32" s="29"/>
      <c r="M32" s="29"/>
      <c r="N32" s="29"/>
      <c r="O32" s="29"/>
      <c r="P32" s="29"/>
      <c r="Q32" s="29"/>
      <c r="R32" s="29"/>
    </row>
    <row r="33" spans="6:18" x14ac:dyDescent="0.25">
      <c r="F33" s="29"/>
      <c r="G33" s="29"/>
      <c r="H33" s="29"/>
      <c r="I33" s="29"/>
      <c r="J33" s="29"/>
      <c r="K33" s="29"/>
      <c r="L33" s="29"/>
      <c r="M33" s="29"/>
      <c r="N33" s="29"/>
      <c r="O33" s="29"/>
      <c r="P33" s="29"/>
      <c r="Q33" s="29"/>
      <c r="R33" s="29"/>
    </row>
    <row r="34" spans="6:18" x14ac:dyDescent="0.25">
      <c r="F34" s="29"/>
      <c r="G34" s="29"/>
      <c r="H34" s="29"/>
      <c r="I34" s="29"/>
      <c r="J34" s="29"/>
      <c r="K34" s="29"/>
      <c r="L34" s="29"/>
      <c r="M34" s="29"/>
      <c r="N34" s="29"/>
      <c r="O34" s="29"/>
      <c r="P34" s="29"/>
      <c r="Q34" s="29"/>
      <c r="R34" s="29"/>
    </row>
    <row r="35" spans="6:18" x14ac:dyDescent="0.25">
      <c r="F35" s="29"/>
      <c r="G35" s="29"/>
      <c r="H35" s="29"/>
      <c r="I35" s="29"/>
      <c r="J35" s="29"/>
      <c r="K35" s="29"/>
      <c r="L35" s="29"/>
      <c r="M35" s="29"/>
      <c r="N35" s="29"/>
      <c r="O35" s="29"/>
      <c r="P35" s="29"/>
      <c r="Q35" s="29"/>
      <c r="R35" s="29"/>
    </row>
    <row r="36" spans="6:18" x14ac:dyDescent="0.25">
      <c r="F36" s="29"/>
      <c r="G36" s="29"/>
      <c r="H36" s="29"/>
      <c r="I36" s="29"/>
      <c r="J36" s="29"/>
      <c r="K36" s="29"/>
      <c r="L36" s="29"/>
      <c r="M36" s="29"/>
      <c r="N36" s="29"/>
      <c r="O36" s="29"/>
      <c r="P36" s="29"/>
      <c r="Q36" s="29"/>
      <c r="R36" s="29"/>
    </row>
    <row r="37" spans="6:18" x14ac:dyDescent="0.25">
      <c r="F37" s="29"/>
      <c r="G37" s="29"/>
      <c r="H37" s="29"/>
      <c r="I37" s="29"/>
      <c r="J37" s="29"/>
      <c r="K37" s="29"/>
      <c r="L37" s="29"/>
      <c r="M37" s="29"/>
      <c r="N37" s="29"/>
      <c r="O37" s="29"/>
      <c r="P37" s="29"/>
      <c r="Q37" s="29"/>
      <c r="R37" s="29"/>
    </row>
    <row r="38" spans="6:18" x14ac:dyDescent="0.25">
      <c r="F38" s="29"/>
      <c r="G38" s="29"/>
      <c r="H38" s="29"/>
      <c r="I38" s="29"/>
      <c r="J38" s="29"/>
      <c r="K38" s="29"/>
      <c r="L38" s="29"/>
      <c r="M38" s="29"/>
      <c r="N38" s="29"/>
      <c r="O38" s="29"/>
      <c r="P38" s="29"/>
      <c r="Q38" s="29"/>
      <c r="R38" s="29"/>
    </row>
    <row r="39" spans="6:18" x14ac:dyDescent="0.25">
      <c r="F39" s="29"/>
      <c r="G39" s="29"/>
      <c r="H39" s="29"/>
      <c r="I39" s="29"/>
      <c r="J39" s="29"/>
      <c r="K39" s="29"/>
      <c r="L39" s="29"/>
      <c r="M39" s="29"/>
      <c r="N39" s="29"/>
      <c r="O39" s="29"/>
      <c r="P39" s="29"/>
      <c r="Q39" s="29"/>
      <c r="R39" s="29"/>
    </row>
    <row r="40" spans="6:18" x14ac:dyDescent="0.25">
      <c r="F40" s="29"/>
      <c r="G40" s="29"/>
      <c r="H40" s="29"/>
      <c r="I40" s="29"/>
      <c r="J40" s="29"/>
      <c r="K40" s="29"/>
      <c r="L40" s="29"/>
      <c r="M40" s="29"/>
      <c r="N40" s="29"/>
      <c r="O40" s="29"/>
      <c r="P40" s="29"/>
      <c r="Q40" s="29"/>
      <c r="R40" s="29"/>
    </row>
    <row r="41" spans="6:18" x14ac:dyDescent="0.25">
      <c r="F41" s="29"/>
      <c r="G41" s="29"/>
      <c r="H41" s="29"/>
      <c r="I41" s="29"/>
      <c r="J41" s="29"/>
      <c r="K41" s="29"/>
      <c r="L41" s="29"/>
      <c r="M41" s="29"/>
      <c r="N41" s="29"/>
      <c r="O41" s="29"/>
      <c r="P41" s="29"/>
      <c r="Q41" s="29"/>
      <c r="R41" s="29"/>
    </row>
    <row r="42" spans="6:18" x14ac:dyDescent="0.25">
      <c r="F42" s="29"/>
      <c r="G42" s="29"/>
      <c r="H42" s="29"/>
      <c r="I42" s="29"/>
      <c r="J42" s="29"/>
      <c r="K42" s="29"/>
      <c r="L42" s="29"/>
      <c r="M42" s="29"/>
      <c r="N42" s="29"/>
      <c r="O42" s="29"/>
      <c r="P42" s="29"/>
      <c r="Q42" s="29"/>
      <c r="R42" s="29"/>
    </row>
    <row r="43" spans="6:18" x14ac:dyDescent="0.25">
      <c r="F43" s="29"/>
      <c r="G43" s="29"/>
      <c r="H43" s="29"/>
      <c r="I43" s="29"/>
      <c r="J43" s="29"/>
      <c r="K43" s="29"/>
      <c r="L43" s="29"/>
      <c r="M43" s="29"/>
      <c r="N43" s="29"/>
      <c r="O43" s="29"/>
      <c r="P43" s="29"/>
      <c r="Q43" s="29"/>
      <c r="R43" s="29"/>
    </row>
    <row r="44" spans="6:18" x14ac:dyDescent="0.25">
      <c r="F44" s="29"/>
      <c r="G44" s="29"/>
      <c r="H44" s="29"/>
      <c r="I44" s="29"/>
      <c r="J44" s="29"/>
      <c r="K44" s="29"/>
      <c r="L44" s="29"/>
      <c r="M44" s="29"/>
      <c r="N44" s="29"/>
      <c r="O44" s="29"/>
      <c r="P44" s="29"/>
      <c r="Q44" s="29"/>
      <c r="R44" s="29"/>
    </row>
    <row r="45" spans="6:18" x14ac:dyDescent="0.25">
      <c r="F45" s="29"/>
      <c r="G45" s="29"/>
      <c r="H45" s="29"/>
      <c r="I45" s="29"/>
      <c r="J45" s="29"/>
      <c r="K45" s="29"/>
      <c r="L45" s="29"/>
      <c r="M45" s="29"/>
      <c r="N45" s="29"/>
      <c r="O45" s="29"/>
      <c r="P45" s="29"/>
      <c r="Q45" s="29"/>
      <c r="R45" s="29"/>
    </row>
    <row r="46" spans="6:18" x14ac:dyDescent="0.25">
      <c r="F46" s="29"/>
      <c r="G46" s="29"/>
      <c r="H46" s="29"/>
      <c r="I46" s="29"/>
      <c r="J46" s="29"/>
      <c r="K46" s="29"/>
      <c r="L46" s="29"/>
      <c r="M46" s="29"/>
      <c r="N46" s="29"/>
      <c r="O46" s="29"/>
      <c r="P46" s="29"/>
      <c r="Q46" s="29"/>
      <c r="R46" s="29"/>
    </row>
    <row r="47" spans="6:18" x14ac:dyDescent="0.25">
      <c r="F47" s="29"/>
      <c r="G47" s="29"/>
      <c r="H47" s="29"/>
      <c r="I47" s="29"/>
      <c r="J47" s="29"/>
      <c r="K47" s="29"/>
      <c r="L47" s="29"/>
      <c r="M47" s="29"/>
      <c r="N47" s="29"/>
      <c r="O47" s="29"/>
      <c r="P47" s="29"/>
      <c r="Q47" s="29"/>
      <c r="R47" s="29"/>
    </row>
  </sheetData>
  <sheetProtection algorithmName="SHA-512" hashValue="gLRmPjiMtmPRzbwzqKxCGC+ED65pI1rJJpDnCS+vmSjFNtx0prRCeePTAptgHdSdufARpdxwnsJDvLAjrdER9A==" saltValue="nGxJUvBwAy6uT30yDhoHaw==" spinCount="100000" sheet="1" objects="1" scenarios="1"/>
  <mergeCells count="2">
    <mergeCell ref="B2:V3"/>
    <mergeCell ref="F5:R31"/>
  </mergeCells>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V88"/>
  <sheetViews>
    <sheetView workbookViewId="0">
      <selection activeCell="B2" sqref="B2:V3"/>
    </sheetView>
  </sheetViews>
  <sheetFormatPr defaultRowHeight="15" x14ac:dyDescent="0.25"/>
  <sheetData>
    <row r="2" spans="2:22" ht="15" customHeight="1" x14ac:dyDescent="0.25">
      <c r="B2" s="230" t="s">
        <v>186</v>
      </c>
      <c r="C2" s="230"/>
      <c r="D2" s="230"/>
      <c r="E2" s="230"/>
      <c r="F2" s="230"/>
      <c r="G2" s="230"/>
      <c r="H2" s="230"/>
      <c r="I2" s="230"/>
      <c r="J2" s="230"/>
      <c r="K2" s="230"/>
      <c r="L2" s="230"/>
      <c r="M2" s="230"/>
      <c r="N2" s="230"/>
      <c r="O2" s="230"/>
      <c r="P2" s="230"/>
      <c r="Q2" s="230"/>
      <c r="R2" s="230"/>
      <c r="S2" s="230"/>
      <c r="T2" s="230"/>
      <c r="U2" s="230"/>
      <c r="V2" s="230"/>
    </row>
    <row r="3" spans="2:22" ht="15" customHeight="1" x14ac:dyDescent="0.25">
      <c r="B3" s="230"/>
      <c r="C3" s="230"/>
      <c r="D3" s="230"/>
      <c r="E3" s="230"/>
      <c r="F3" s="230"/>
      <c r="G3" s="230"/>
      <c r="H3" s="230"/>
      <c r="I3" s="230"/>
      <c r="J3" s="230"/>
      <c r="K3" s="230"/>
      <c r="L3" s="230"/>
      <c r="M3" s="230"/>
      <c r="N3" s="230"/>
      <c r="O3" s="230"/>
      <c r="P3" s="230"/>
      <c r="Q3" s="230"/>
      <c r="R3" s="230"/>
      <c r="S3" s="230"/>
      <c r="T3" s="230"/>
      <c r="U3" s="230"/>
      <c r="V3" s="230"/>
    </row>
    <row r="5" spans="2:22" x14ac:dyDescent="0.25">
      <c r="F5" s="28"/>
      <c r="G5" s="28"/>
      <c r="H5" s="314"/>
      <c r="I5" s="314"/>
      <c r="J5" s="314"/>
      <c r="K5" s="314"/>
      <c r="L5" s="314"/>
      <c r="M5" s="314"/>
      <c r="N5" s="314"/>
      <c r="O5" s="314"/>
      <c r="P5" s="314"/>
      <c r="Q5" s="28"/>
      <c r="R5" s="28"/>
    </row>
    <row r="6" spans="2:22" x14ac:dyDescent="0.25">
      <c r="F6" s="28"/>
      <c r="G6" s="28"/>
      <c r="H6" s="314"/>
      <c r="I6" s="314"/>
      <c r="J6" s="314"/>
      <c r="K6" s="314"/>
      <c r="L6" s="314"/>
      <c r="M6" s="314"/>
      <c r="N6" s="314"/>
      <c r="O6" s="314"/>
      <c r="P6" s="314"/>
      <c r="Q6" s="28"/>
      <c r="R6" s="28"/>
    </row>
    <row r="7" spans="2:22" x14ac:dyDescent="0.25">
      <c r="H7" s="314"/>
      <c r="I7" s="314"/>
      <c r="J7" s="314"/>
      <c r="K7" s="314"/>
      <c r="L7" s="314"/>
      <c r="M7" s="314"/>
      <c r="N7" s="314"/>
      <c r="O7" s="314"/>
      <c r="P7" s="314"/>
    </row>
    <row r="8" spans="2:22" x14ac:dyDescent="0.25">
      <c r="H8" s="314"/>
      <c r="I8" s="314"/>
      <c r="J8" s="314"/>
      <c r="K8" s="314"/>
      <c r="L8" s="314"/>
      <c r="M8" s="314"/>
      <c r="N8" s="314"/>
      <c r="O8" s="314"/>
      <c r="P8" s="314"/>
    </row>
    <row r="9" spans="2:22" x14ac:dyDescent="0.25">
      <c r="H9" s="314"/>
      <c r="I9" s="314"/>
      <c r="J9" s="314"/>
      <c r="K9" s="314"/>
      <c r="L9" s="314"/>
      <c r="M9" s="314"/>
      <c r="N9" s="314"/>
      <c r="O9" s="314"/>
      <c r="P9" s="314"/>
    </row>
    <row r="10" spans="2:22" x14ac:dyDescent="0.25">
      <c r="H10" s="314"/>
      <c r="I10" s="314"/>
      <c r="J10" s="314"/>
      <c r="K10" s="314"/>
      <c r="L10" s="314"/>
      <c r="M10" s="314"/>
      <c r="N10" s="314"/>
      <c r="O10" s="314"/>
      <c r="P10" s="314"/>
    </row>
    <row r="11" spans="2:22" x14ac:dyDescent="0.25">
      <c r="H11" s="314"/>
      <c r="I11" s="314"/>
      <c r="J11" s="314"/>
      <c r="K11" s="314"/>
      <c r="L11" s="314"/>
      <c r="M11" s="314"/>
      <c r="N11" s="314"/>
      <c r="O11" s="314"/>
      <c r="P11" s="314"/>
    </row>
    <row r="12" spans="2:22" x14ac:dyDescent="0.25">
      <c r="H12" s="314"/>
      <c r="I12" s="314"/>
      <c r="J12" s="314"/>
      <c r="K12" s="314"/>
      <c r="L12" s="314"/>
      <c r="M12" s="314"/>
      <c r="N12" s="314"/>
      <c r="O12" s="314"/>
      <c r="P12" s="314"/>
    </row>
    <row r="13" spans="2:22" x14ac:dyDescent="0.25">
      <c r="H13" s="314"/>
      <c r="I13" s="314"/>
      <c r="J13" s="314"/>
      <c r="K13" s="314"/>
      <c r="L13" s="314"/>
      <c r="M13" s="314"/>
      <c r="N13" s="314"/>
      <c r="O13" s="314"/>
      <c r="P13" s="314"/>
    </row>
    <row r="14" spans="2:22" x14ac:dyDescent="0.25">
      <c r="H14" s="314"/>
      <c r="I14" s="314"/>
      <c r="J14" s="314"/>
      <c r="K14" s="314"/>
      <c r="L14" s="314"/>
      <c r="M14" s="314"/>
      <c r="N14" s="314"/>
      <c r="O14" s="314"/>
      <c r="P14" s="314"/>
    </row>
    <row r="15" spans="2:22" x14ac:dyDescent="0.25">
      <c r="H15" s="314"/>
      <c r="I15" s="314"/>
      <c r="J15" s="314"/>
      <c r="K15" s="314"/>
      <c r="L15" s="314"/>
      <c r="M15" s="314"/>
      <c r="N15" s="314"/>
      <c r="O15" s="314"/>
      <c r="P15" s="314"/>
    </row>
    <row r="16" spans="2:22" x14ac:dyDescent="0.25">
      <c r="H16" s="314"/>
      <c r="I16" s="314"/>
      <c r="J16" s="314"/>
      <c r="K16" s="314"/>
      <c r="L16" s="314"/>
      <c r="M16" s="314"/>
      <c r="N16" s="314"/>
      <c r="O16" s="314"/>
      <c r="P16" s="314"/>
    </row>
    <row r="17" spans="2:22" x14ac:dyDescent="0.25">
      <c r="H17" s="314"/>
      <c r="I17" s="314"/>
      <c r="J17" s="314"/>
      <c r="K17" s="314"/>
      <c r="L17" s="314"/>
      <c r="M17" s="314"/>
      <c r="N17" s="314"/>
      <c r="O17" s="314"/>
      <c r="P17" s="314"/>
    </row>
    <row r="18" spans="2:22" x14ac:dyDescent="0.25">
      <c r="H18" s="314"/>
      <c r="I18" s="314"/>
      <c r="J18" s="314"/>
      <c r="K18" s="314"/>
      <c r="L18" s="314"/>
      <c r="M18" s="314"/>
      <c r="N18" s="314"/>
      <c r="O18" s="314"/>
      <c r="P18" s="314"/>
    </row>
    <row r="19" spans="2:22" x14ac:dyDescent="0.25">
      <c r="H19" s="314"/>
      <c r="I19" s="314"/>
      <c r="J19" s="314"/>
      <c r="K19" s="314"/>
      <c r="L19" s="314"/>
      <c r="M19" s="314"/>
      <c r="N19" s="314"/>
      <c r="O19" s="314"/>
      <c r="P19" s="314"/>
    </row>
    <row r="20" spans="2:22" x14ac:dyDescent="0.25">
      <c r="H20" s="314"/>
      <c r="I20" s="314"/>
      <c r="J20" s="314"/>
      <c r="K20" s="314"/>
      <c r="L20" s="314"/>
      <c r="M20" s="314"/>
      <c r="N20" s="314"/>
      <c r="O20" s="314"/>
      <c r="P20" s="314"/>
    </row>
    <row r="21" spans="2:22" x14ac:dyDescent="0.25">
      <c r="H21" s="314"/>
      <c r="I21" s="314"/>
      <c r="J21" s="314"/>
      <c r="K21" s="314"/>
      <c r="L21" s="314"/>
      <c r="M21" s="314"/>
      <c r="N21" s="314"/>
      <c r="O21" s="314"/>
      <c r="P21" s="314"/>
    </row>
    <row r="22" spans="2:22" x14ac:dyDescent="0.25">
      <c r="H22" s="314"/>
      <c r="I22" s="314"/>
      <c r="J22" s="314"/>
      <c r="K22" s="314"/>
      <c r="L22" s="314"/>
      <c r="M22" s="314"/>
      <c r="N22" s="314"/>
      <c r="O22" s="314"/>
      <c r="P22" s="314"/>
    </row>
    <row r="23" spans="2:22" x14ac:dyDescent="0.25">
      <c r="H23" s="314"/>
      <c r="I23" s="314"/>
      <c r="J23" s="314"/>
      <c r="K23" s="314"/>
      <c r="L23" s="314"/>
      <c r="M23" s="314"/>
      <c r="N23" s="314"/>
      <c r="O23" s="314"/>
      <c r="P23" s="314"/>
    </row>
    <row r="24" spans="2:22" x14ac:dyDescent="0.25">
      <c r="H24" s="314"/>
      <c r="I24" s="314"/>
      <c r="J24" s="314"/>
      <c r="K24" s="314"/>
      <c r="L24" s="314"/>
      <c r="M24" s="314"/>
      <c r="N24" s="314"/>
      <c r="O24" s="314"/>
      <c r="P24" s="314"/>
    </row>
    <row r="25" spans="2:22" x14ac:dyDescent="0.25">
      <c r="H25" s="314"/>
      <c r="I25" s="314"/>
      <c r="J25" s="314"/>
      <c r="K25" s="314"/>
      <c r="L25" s="314"/>
      <c r="M25" s="314"/>
      <c r="N25" s="314"/>
      <c r="O25" s="314"/>
      <c r="P25" s="314"/>
    </row>
    <row r="26" spans="2:22" x14ac:dyDescent="0.25">
      <c r="H26" s="314"/>
      <c r="I26" s="314"/>
      <c r="J26" s="314"/>
      <c r="K26" s="314"/>
      <c r="L26" s="314"/>
      <c r="M26" s="314"/>
      <c r="N26" s="314"/>
      <c r="O26" s="314"/>
      <c r="P26" s="314"/>
    </row>
    <row r="27" spans="2:22" x14ac:dyDescent="0.25">
      <c r="F27" s="314" t="s">
        <v>226</v>
      </c>
      <c r="G27" s="314"/>
      <c r="H27" s="314"/>
      <c r="I27" s="314"/>
      <c r="J27" s="314"/>
      <c r="K27" s="314"/>
      <c r="L27" s="314"/>
      <c r="M27" s="314"/>
      <c r="N27" s="314"/>
      <c r="O27" s="314"/>
      <c r="P27" s="314"/>
      <c r="Q27" s="314"/>
      <c r="R27" s="314"/>
    </row>
    <row r="28" spans="2:22" x14ac:dyDescent="0.25">
      <c r="B28" s="1"/>
      <c r="C28" s="1"/>
      <c r="D28" s="1"/>
      <c r="E28" s="1"/>
      <c r="F28" s="314"/>
      <c r="G28" s="314"/>
      <c r="H28" s="314"/>
      <c r="I28" s="314"/>
      <c r="J28" s="314"/>
      <c r="K28" s="314"/>
      <c r="L28" s="314"/>
      <c r="M28" s="314"/>
      <c r="N28" s="314"/>
      <c r="O28" s="314"/>
      <c r="P28" s="314"/>
      <c r="Q28" s="314"/>
      <c r="R28" s="314"/>
      <c r="S28" s="1"/>
      <c r="T28" s="1"/>
      <c r="U28" s="1"/>
      <c r="V28" s="1"/>
    </row>
    <row r="29" spans="2:22" ht="15" customHeight="1" x14ac:dyDescent="0.25">
      <c r="B29" s="1"/>
      <c r="C29" s="1"/>
      <c r="D29" s="1"/>
      <c r="E29" s="1"/>
      <c r="F29" s="313" t="s">
        <v>223</v>
      </c>
      <c r="G29" s="313"/>
      <c r="H29" s="313"/>
      <c r="I29" s="313"/>
      <c r="J29" s="313"/>
      <c r="K29" s="313"/>
      <c r="L29" s="313"/>
      <c r="M29" s="313"/>
      <c r="N29" s="313"/>
      <c r="O29" s="313"/>
      <c r="P29" s="313"/>
      <c r="Q29" s="313"/>
      <c r="R29" s="313"/>
      <c r="S29" s="1"/>
      <c r="T29" s="1"/>
      <c r="U29" s="1"/>
      <c r="V29" s="1"/>
    </row>
    <row r="30" spans="2:22" x14ac:dyDescent="0.25">
      <c r="B30" s="1"/>
      <c r="C30" s="1"/>
      <c r="D30" s="1"/>
      <c r="E30" s="1"/>
      <c r="F30" s="313"/>
      <c r="G30" s="313"/>
      <c r="H30" s="313"/>
      <c r="I30" s="313"/>
      <c r="J30" s="313"/>
      <c r="K30" s="313"/>
      <c r="L30" s="313"/>
      <c r="M30" s="313"/>
      <c r="N30" s="313"/>
      <c r="O30" s="313"/>
      <c r="P30" s="313"/>
      <c r="Q30" s="313"/>
      <c r="R30" s="313"/>
      <c r="S30" s="1"/>
      <c r="T30" s="1"/>
      <c r="U30" s="1"/>
      <c r="V30" s="1"/>
    </row>
    <row r="31" spans="2:22" x14ac:dyDescent="0.25">
      <c r="H31" s="29"/>
      <c r="I31" s="29"/>
      <c r="J31" s="29"/>
      <c r="K31" s="29"/>
      <c r="L31" s="29"/>
      <c r="M31" s="29"/>
      <c r="N31" s="29"/>
      <c r="O31" s="29"/>
      <c r="P31" s="29"/>
    </row>
    <row r="32" spans="2:22" ht="15" customHeight="1" x14ac:dyDescent="0.25">
      <c r="B32" s="230" t="s">
        <v>230</v>
      </c>
      <c r="C32" s="230"/>
      <c r="D32" s="230"/>
      <c r="E32" s="230"/>
      <c r="F32" s="230"/>
      <c r="G32" s="230"/>
      <c r="H32" s="230"/>
      <c r="I32" s="230"/>
      <c r="J32" s="230"/>
      <c r="K32" s="230"/>
      <c r="L32" s="230"/>
      <c r="M32" s="230"/>
      <c r="N32" s="230"/>
      <c r="O32" s="230"/>
      <c r="P32" s="230"/>
      <c r="Q32" s="230"/>
      <c r="R32" s="230"/>
      <c r="S32" s="230"/>
      <c r="T32" s="230"/>
      <c r="U32" s="230"/>
      <c r="V32" s="230"/>
    </row>
    <row r="33" spans="2:22" ht="15" customHeight="1" x14ac:dyDescent="0.25">
      <c r="B33" s="230"/>
      <c r="C33" s="230"/>
      <c r="D33" s="230"/>
      <c r="E33" s="230"/>
      <c r="F33" s="230"/>
      <c r="G33" s="230"/>
      <c r="H33" s="230"/>
      <c r="I33" s="230"/>
      <c r="J33" s="230"/>
      <c r="K33" s="230"/>
      <c r="L33" s="230"/>
      <c r="M33" s="230"/>
      <c r="N33" s="230"/>
      <c r="O33" s="230"/>
      <c r="P33" s="230"/>
      <c r="Q33" s="230"/>
      <c r="R33" s="230"/>
      <c r="S33" s="230"/>
      <c r="T33" s="230"/>
      <c r="U33" s="230"/>
      <c r="V33" s="230"/>
    </row>
    <row r="35" spans="2:22" x14ac:dyDescent="0.25">
      <c r="F35" s="240"/>
      <c r="G35" s="240"/>
      <c r="H35" s="240"/>
      <c r="I35" s="240"/>
      <c r="J35" s="240"/>
      <c r="K35" s="248" t="s">
        <v>67</v>
      </c>
      <c r="L35" s="248"/>
      <c r="M35" s="248"/>
      <c r="N35" s="248"/>
      <c r="O35" s="248"/>
      <c r="P35" s="248"/>
      <c r="Q35" s="248"/>
      <c r="R35" s="248"/>
    </row>
    <row r="36" spans="2:22" x14ac:dyDescent="0.25">
      <c r="F36" s="240"/>
      <c r="G36" s="240"/>
      <c r="H36" s="240"/>
      <c r="I36" s="240"/>
      <c r="J36" s="240"/>
    </row>
    <row r="37" spans="2:22" x14ac:dyDescent="0.25">
      <c r="F37" s="240"/>
      <c r="G37" s="240"/>
      <c r="H37" s="240"/>
      <c r="I37" s="240"/>
      <c r="J37" s="240"/>
      <c r="K37" s="216" t="s">
        <v>72</v>
      </c>
      <c r="L37" s="216"/>
      <c r="M37" s="216"/>
      <c r="N37" s="216"/>
      <c r="O37" s="216"/>
      <c r="P37" s="216"/>
      <c r="Q37" s="216"/>
      <c r="R37" s="216"/>
    </row>
    <row r="38" spans="2:22" x14ac:dyDescent="0.25">
      <c r="F38" s="240"/>
      <c r="G38" s="240"/>
      <c r="H38" s="240"/>
      <c r="I38" s="240"/>
      <c r="J38" s="240"/>
      <c r="K38" s="216"/>
      <c r="L38" s="216"/>
      <c r="M38" s="216"/>
      <c r="N38" s="216"/>
      <c r="O38" s="216"/>
      <c r="P38" s="216"/>
      <c r="Q38" s="216"/>
      <c r="R38" s="216"/>
    </row>
    <row r="39" spans="2:22" x14ac:dyDescent="0.25">
      <c r="F39" s="240"/>
      <c r="G39" s="240"/>
      <c r="H39" s="240"/>
      <c r="I39" s="240"/>
      <c r="J39" s="240"/>
      <c r="K39" s="216"/>
      <c r="L39" s="216"/>
      <c r="M39" s="216"/>
      <c r="N39" s="216"/>
      <c r="O39" s="216"/>
      <c r="P39" s="216"/>
      <c r="Q39" s="216"/>
      <c r="R39" s="216"/>
    </row>
    <row r="40" spans="2:22" x14ac:dyDescent="0.25">
      <c r="F40" s="240"/>
      <c r="G40" s="240"/>
      <c r="H40" s="240"/>
      <c r="I40" s="240"/>
      <c r="J40" s="240"/>
      <c r="K40" s="216"/>
      <c r="L40" s="216"/>
      <c r="M40" s="216"/>
      <c r="N40" s="216"/>
      <c r="O40" s="216"/>
      <c r="P40" s="216"/>
      <c r="Q40" s="216"/>
      <c r="R40" s="216"/>
    </row>
    <row r="41" spans="2:22" x14ac:dyDescent="0.25">
      <c r="F41" s="240"/>
      <c r="G41" s="240"/>
      <c r="H41" s="240"/>
      <c r="I41" s="240"/>
      <c r="J41" s="240"/>
      <c r="K41" s="216"/>
      <c r="L41" s="216"/>
      <c r="M41" s="216"/>
      <c r="N41" s="216"/>
      <c r="O41" s="216"/>
      <c r="P41" s="216"/>
      <c r="Q41" s="216"/>
      <c r="R41" s="216"/>
    </row>
    <row r="42" spans="2:22" x14ac:dyDescent="0.25">
      <c r="F42" s="240"/>
      <c r="G42" s="240"/>
      <c r="H42" s="240"/>
      <c r="I42" s="240"/>
      <c r="J42" s="240"/>
      <c r="K42" s="216"/>
      <c r="L42" s="216"/>
      <c r="M42" s="216"/>
      <c r="N42" s="216"/>
      <c r="O42" s="216"/>
      <c r="P42" s="216"/>
      <c r="Q42" s="216"/>
      <c r="R42" s="216"/>
    </row>
    <row r="43" spans="2:22" x14ac:dyDescent="0.25">
      <c r="F43" s="240"/>
      <c r="G43" s="240"/>
      <c r="H43" s="240"/>
      <c r="I43" s="240"/>
      <c r="J43" s="240"/>
      <c r="K43" s="216"/>
      <c r="L43" s="216"/>
      <c r="M43" s="216"/>
      <c r="N43" s="216"/>
      <c r="O43" s="216"/>
      <c r="P43" s="216"/>
      <c r="Q43" s="216"/>
      <c r="R43" s="216"/>
    </row>
    <row r="44" spans="2:22" x14ac:dyDescent="0.25">
      <c r="F44" s="240"/>
      <c r="G44" s="240"/>
      <c r="H44" s="240"/>
      <c r="I44" s="240"/>
      <c r="J44" s="240"/>
      <c r="K44" s="1"/>
      <c r="L44" s="1"/>
      <c r="M44" s="1"/>
      <c r="N44" s="1"/>
      <c r="O44" s="1"/>
      <c r="P44" s="1"/>
      <c r="Q44" s="1"/>
      <c r="R44" s="1"/>
    </row>
    <row r="46" spans="2:22" x14ac:dyDescent="0.25">
      <c r="F46" s="240"/>
      <c r="G46" s="240"/>
      <c r="H46" s="240"/>
      <c r="I46" s="240"/>
      <c r="J46" s="240"/>
      <c r="K46" s="248" t="s">
        <v>68</v>
      </c>
      <c r="L46" s="248"/>
      <c r="M46" s="248"/>
      <c r="N46" s="248"/>
      <c r="O46" s="248"/>
      <c r="P46" s="248"/>
      <c r="Q46" s="248"/>
      <c r="R46" s="248"/>
    </row>
    <row r="47" spans="2:22" x14ac:dyDescent="0.25">
      <c r="F47" s="240"/>
      <c r="G47" s="240"/>
      <c r="H47" s="240"/>
      <c r="I47" s="240"/>
      <c r="J47" s="240"/>
    </row>
    <row r="48" spans="2:22" x14ac:dyDescent="0.25">
      <c r="F48" s="240"/>
      <c r="G48" s="240"/>
      <c r="H48" s="240"/>
      <c r="I48" s="240"/>
      <c r="J48" s="240"/>
      <c r="K48" s="216" t="s">
        <v>73</v>
      </c>
      <c r="L48" s="216"/>
      <c r="M48" s="216"/>
      <c r="N48" s="216"/>
      <c r="O48" s="216"/>
      <c r="P48" s="216"/>
      <c r="Q48" s="216"/>
      <c r="R48" s="216"/>
    </row>
    <row r="49" spans="6:18" x14ac:dyDescent="0.25">
      <c r="F49" s="240"/>
      <c r="G49" s="240"/>
      <c r="H49" s="240"/>
      <c r="I49" s="240"/>
      <c r="J49" s="240"/>
      <c r="K49" s="216"/>
      <c r="L49" s="216"/>
      <c r="M49" s="216"/>
      <c r="N49" s="216"/>
      <c r="O49" s="216"/>
      <c r="P49" s="216"/>
      <c r="Q49" s="216"/>
      <c r="R49" s="216"/>
    </row>
    <row r="50" spans="6:18" x14ac:dyDescent="0.25">
      <c r="F50" s="240"/>
      <c r="G50" s="240"/>
      <c r="H50" s="240"/>
      <c r="I50" s="240"/>
      <c r="J50" s="240"/>
      <c r="K50" s="216"/>
      <c r="L50" s="216"/>
      <c r="M50" s="216"/>
      <c r="N50" s="216"/>
      <c r="O50" s="216"/>
      <c r="P50" s="216"/>
      <c r="Q50" s="216"/>
      <c r="R50" s="216"/>
    </row>
    <row r="51" spans="6:18" x14ac:dyDescent="0.25">
      <c r="F51" s="240"/>
      <c r="G51" s="240"/>
      <c r="H51" s="240"/>
      <c r="I51" s="240"/>
      <c r="J51" s="240"/>
      <c r="K51" s="216"/>
      <c r="L51" s="216"/>
      <c r="M51" s="216"/>
      <c r="N51" s="216"/>
      <c r="O51" s="216"/>
      <c r="P51" s="216"/>
      <c r="Q51" s="216"/>
      <c r="R51" s="216"/>
    </row>
    <row r="52" spans="6:18" x14ac:dyDescent="0.25">
      <c r="F52" s="240"/>
      <c r="G52" s="240"/>
      <c r="H52" s="240"/>
      <c r="I52" s="240"/>
      <c r="J52" s="240"/>
      <c r="K52" s="216"/>
      <c r="L52" s="216"/>
      <c r="M52" s="216"/>
      <c r="N52" s="216"/>
      <c r="O52" s="216"/>
      <c r="P52" s="216"/>
      <c r="Q52" s="216"/>
      <c r="R52" s="216"/>
    </row>
    <row r="53" spans="6:18" x14ac:dyDescent="0.25">
      <c r="F53" s="240"/>
      <c r="G53" s="240"/>
      <c r="H53" s="240"/>
      <c r="I53" s="240"/>
      <c r="J53" s="240"/>
      <c r="K53" s="216"/>
      <c r="L53" s="216"/>
      <c r="M53" s="216"/>
      <c r="N53" s="216"/>
      <c r="O53" s="216"/>
      <c r="P53" s="216"/>
      <c r="Q53" s="216"/>
      <c r="R53" s="216"/>
    </row>
    <row r="54" spans="6:18" x14ac:dyDescent="0.25">
      <c r="F54" s="240"/>
      <c r="G54" s="240"/>
      <c r="H54" s="240"/>
      <c r="I54" s="240"/>
      <c r="J54" s="240"/>
      <c r="K54" s="216"/>
      <c r="L54" s="216"/>
      <c r="M54" s="216"/>
      <c r="N54" s="216"/>
      <c r="O54" s="216"/>
      <c r="P54" s="216"/>
      <c r="Q54" s="216"/>
      <c r="R54" s="216"/>
    </row>
    <row r="55" spans="6:18" x14ac:dyDescent="0.25">
      <c r="F55" s="240"/>
      <c r="G55" s="240"/>
      <c r="H55" s="240"/>
      <c r="I55" s="240"/>
      <c r="J55" s="240"/>
    </row>
    <row r="57" spans="6:18" x14ac:dyDescent="0.25">
      <c r="F57" s="240"/>
      <c r="G57" s="240"/>
      <c r="H57" s="240"/>
      <c r="I57" s="240"/>
      <c r="J57" s="240"/>
      <c r="K57" s="248" t="s">
        <v>69</v>
      </c>
      <c r="L57" s="248"/>
      <c r="M57" s="248"/>
      <c r="N57" s="248"/>
      <c r="O57" s="248"/>
      <c r="P57" s="248"/>
      <c r="Q57" s="248"/>
      <c r="R57" s="248"/>
    </row>
    <row r="58" spans="6:18" x14ac:dyDescent="0.25">
      <c r="F58" s="240"/>
      <c r="G58" s="240"/>
      <c r="H58" s="240"/>
      <c r="I58" s="240"/>
      <c r="J58" s="240"/>
    </row>
    <row r="59" spans="6:18" x14ac:dyDescent="0.25">
      <c r="F59" s="240"/>
      <c r="G59" s="240"/>
      <c r="H59" s="240"/>
      <c r="I59" s="240"/>
      <c r="J59" s="240"/>
      <c r="K59" s="313" t="s">
        <v>74</v>
      </c>
      <c r="L59" s="313"/>
      <c r="M59" s="313"/>
      <c r="N59" s="313"/>
      <c r="O59" s="313"/>
      <c r="P59" s="313"/>
      <c r="Q59" s="313"/>
      <c r="R59" s="313"/>
    </row>
    <row r="60" spans="6:18" x14ac:dyDescent="0.25">
      <c r="F60" s="240"/>
      <c r="G60" s="240"/>
      <c r="H60" s="240"/>
      <c r="I60" s="240"/>
      <c r="J60" s="240"/>
      <c r="K60" s="313"/>
      <c r="L60" s="313"/>
      <c r="M60" s="313"/>
      <c r="N60" s="313"/>
      <c r="O60" s="313"/>
      <c r="P60" s="313"/>
      <c r="Q60" s="313"/>
      <c r="R60" s="313"/>
    </row>
    <row r="61" spans="6:18" x14ac:dyDescent="0.25">
      <c r="F61" s="240"/>
      <c r="G61" s="240"/>
      <c r="H61" s="240"/>
      <c r="I61" s="240"/>
      <c r="J61" s="240"/>
      <c r="K61" s="313"/>
      <c r="L61" s="313"/>
      <c r="M61" s="313"/>
      <c r="N61" s="313"/>
      <c r="O61" s="313"/>
      <c r="P61" s="313"/>
      <c r="Q61" s="313"/>
      <c r="R61" s="313"/>
    </row>
    <row r="62" spans="6:18" x14ac:dyDescent="0.25">
      <c r="F62" s="240"/>
      <c r="G62" s="240"/>
      <c r="H62" s="240"/>
      <c r="I62" s="240"/>
      <c r="J62" s="240"/>
      <c r="K62" s="313"/>
      <c r="L62" s="313"/>
      <c r="M62" s="313"/>
      <c r="N62" s="313"/>
      <c r="O62" s="313"/>
      <c r="P62" s="313"/>
      <c r="Q62" s="313"/>
      <c r="R62" s="313"/>
    </row>
    <row r="63" spans="6:18" x14ac:dyDescent="0.25">
      <c r="F63" s="240"/>
      <c r="G63" s="240"/>
      <c r="H63" s="240"/>
      <c r="I63" s="240"/>
      <c r="J63" s="240"/>
      <c r="K63" s="313"/>
      <c r="L63" s="313"/>
      <c r="M63" s="313"/>
      <c r="N63" s="313"/>
      <c r="O63" s="313"/>
      <c r="P63" s="313"/>
      <c r="Q63" s="313"/>
      <c r="R63" s="313"/>
    </row>
    <row r="64" spans="6:18" x14ac:dyDescent="0.25">
      <c r="F64" s="240"/>
      <c r="G64" s="240"/>
      <c r="H64" s="240"/>
      <c r="I64" s="240"/>
      <c r="J64" s="240"/>
      <c r="K64" s="313"/>
      <c r="L64" s="313"/>
      <c r="M64" s="313"/>
      <c r="N64" s="313"/>
      <c r="O64" s="313"/>
      <c r="P64" s="313"/>
      <c r="Q64" s="313"/>
      <c r="R64" s="313"/>
    </row>
    <row r="65" spans="6:18" x14ac:dyDescent="0.25">
      <c r="F65" s="240"/>
      <c r="G65" s="240"/>
      <c r="H65" s="240"/>
      <c r="I65" s="240"/>
      <c r="J65" s="240"/>
      <c r="K65" s="313"/>
      <c r="L65" s="313"/>
      <c r="M65" s="313"/>
      <c r="N65" s="313"/>
      <c r="O65" s="313"/>
      <c r="P65" s="313"/>
      <c r="Q65" s="313"/>
      <c r="R65" s="313"/>
    </row>
    <row r="66" spans="6:18" x14ac:dyDescent="0.25">
      <c r="F66" s="240"/>
      <c r="G66" s="240"/>
      <c r="H66" s="240"/>
      <c r="I66" s="240"/>
      <c r="J66" s="240"/>
    </row>
    <row r="68" spans="6:18" x14ac:dyDescent="0.25">
      <c r="F68" s="240"/>
      <c r="G68" s="240"/>
      <c r="H68" s="240"/>
      <c r="I68" s="240"/>
      <c r="J68" s="240"/>
      <c r="K68" s="248" t="s">
        <v>70</v>
      </c>
      <c r="L68" s="248"/>
      <c r="M68" s="248"/>
      <c r="N68" s="248"/>
      <c r="O68" s="248"/>
      <c r="P68" s="248"/>
      <c r="Q68" s="248"/>
      <c r="R68" s="248"/>
    </row>
    <row r="69" spans="6:18" x14ac:dyDescent="0.25">
      <c r="F69" s="240"/>
      <c r="G69" s="240"/>
      <c r="H69" s="240"/>
      <c r="I69" s="240"/>
      <c r="J69" s="240"/>
    </row>
    <row r="70" spans="6:18" x14ac:dyDescent="0.25">
      <c r="F70" s="240"/>
      <c r="G70" s="240"/>
      <c r="H70" s="240"/>
      <c r="I70" s="240"/>
      <c r="J70" s="240"/>
      <c r="K70" s="313" t="s">
        <v>75</v>
      </c>
      <c r="L70" s="313"/>
      <c r="M70" s="313"/>
      <c r="N70" s="313"/>
      <c r="O70" s="313"/>
      <c r="P70" s="313"/>
      <c r="Q70" s="313"/>
      <c r="R70" s="313"/>
    </row>
    <row r="71" spans="6:18" x14ac:dyDescent="0.25">
      <c r="F71" s="240"/>
      <c r="G71" s="240"/>
      <c r="H71" s="240"/>
      <c r="I71" s="240"/>
      <c r="J71" s="240"/>
      <c r="K71" s="313"/>
      <c r="L71" s="313"/>
      <c r="M71" s="313"/>
      <c r="N71" s="313"/>
      <c r="O71" s="313"/>
      <c r="P71" s="313"/>
      <c r="Q71" s="313"/>
      <c r="R71" s="313"/>
    </row>
    <row r="72" spans="6:18" x14ac:dyDescent="0.25">
      <c r="F72" s="240"/>
      <c r="G72" s="240"/>
      <c r="H72" s="240"/>
      <c r="I72" s="240"/>
      <c r="J72" s="240"/>
      <c r="K72" s="313"/>
      <c r="L72" s="313"/>
      <c r="M72" s="313"/>
      <c r="N72" s="313"/>
      <c r="O72" s="313"/>
      <c r="P72" s="313"/>
      <c r="Q72" s="313"/>
      <c r="R72" s="313"/>
    </row>
    <row r="73" spans="6:18" x14ac:dyDescent="0.25">
      <c r="F73" s="240"/>
      <c r="G73" s="240"/>
      <c r="H73" s="240"/>
      <c r="I73" s="240"/>
      <c r="J73" s="240"/>
      <c r="K73" s="313"/>
      <c r="L73" s="313"/>
      <c r="M73" s="313"/>
      <c r="N73" s="313"/>
      <c r="O73" s="313"/>
      <c r="P73" s="313"/>
      <c r="Q73" s="313"/>
      <c r="R73" s="313"/>
    </row>
    <row r="74" spans="6:18" x14ac:dyDescent="0.25">
      <c r="F74" s="240"/>
      <c r="G74" s="240"/>
      <c r="H74" s="240"/>
      <c r="I74" s="240"/>
      <c r="J74" s="240"/>
      <c r="K74" s="313"/>
      <c r="L74" s="313"/>
      <c r="M74" s="313"/>
      <c r="N74" s="313"/>
      <c r="O74" s="313"/>
      <c r="P74" s="313"/>
      <c r="Q74" s="313"/>
      <c r="R74" s="313"/>
    </row>
    <row r="75" spans="6:18" x14ac:dyDescent="0.25">
      <c r="F75" s="240"/>
      <c r="G75" s="240"/>
      <c r="H75" s="240"/>
      <c r="I75" s="240"/>
      <c r="J75" s="240"/>
      <c r="K75" s="313"/>
      <c r="L75" s="313"/>
      <c r="M75" s="313"/>
      <c r="N75" s="313"/>
      <c r="O75" s="313"/>
      <c r="P75" s="313"/>
      <c r="Q75" s="313"/>
      <c r="R75" s="313"/>
    </row>
    <row r="76" spans="6:18" x14ac:dyDescent="0.25">
      <c r="F76" s="240"/>
      <c r="G76" s="240"/>
      <c r="H76" s="240"/>
      <c r="I76" s="240"/>
      <c r="J76" s="240"/>
      <c r="K76" s="313"/>
      <c r="L76" s="313"/>
      <c r="M76" s="313"/>
      <c r="N76" s="313"/>
      <c r="O76" s="313"/>
      <c r="P76" s="313"/>
      <c r="Q76" s="313"/>
      <c r="R76" s="313"/>
    </row>
    <row r="77" spans="6:18" x14ac:dyDescent="0.25">
      <c r="F77" s="240"/>
      <c r="G77" s="240"/>
      <c r="H77" s="240"/>
      <c r="I77" s="240"/>
      <c r="J77" s="240"/>
    </row>
    <row r="79" spans="6:18" x14ac:dyDescent="0.25">
      <c r="F79" s="240"/>
      <c r="G79" s="240"/>
      <c r="H79" s="240"/>
      <c r="I79" s="240"/>
      <c r="J79" s="240"/>
      <c r="K79" s="248" t="s">
        <v>71</v>
      </c>
      <c r="L79" s="248"/>
      <c r="M79" s="248"/>
      <c r="N79" s="248"/>
      <c r="O79" s="248"/>
      <c r="P79" s="248"/>
      <c r="Q79" s="248"/>
      <c r="R79" s="248"/>
    </row>
    <row r="80" spans="6:18" x14ac:dyDescent="0.25">
      <c r="F80" s="240"/>
      <c r="G80" s="240"/>
      <c r="H80" s="240"/>
      <c r="I80" s="240"/>
      <c r="J80" s="240"/>
    </row>
    <row r="81" spans="6:18" x14ac:dyDescent="0.25">
      <c r="F81" s="240"/>
      <c r="G81" s="240"/>
      <c r="H81" s="240"/>
      <c r="I81" s="240"/>
      <c r="J81" s="240"/>
      <c r="K81" s="313" t="s">
        <v>76</v>
      </c>
      <c r="L81" s="313"/>
      <c r="M81" s="313"/>
      <c r="N81" s="313"/>
      <c r="O81" s="313"/>
      <c r="P81" s="313"/>
      <c r="Q81" s="313"/>
      <c r="R81" s="313"/>
    </row>
    <row r="82" spans="6:18" x14ac:dyDescent="0.25">
      <c r="F82" s="240"/>
      <c r="G82" s="240"/>
      <c r="H82" s="240"/>
      <c r="I82" s="240"/>
      <c r="J82" s="240"/>
      <c r="K82" s="313"/>
      <c r="L82" s="313"/>
      <c r="M82" s="313"/>
      <c r="N82" s="313"/>
      <c r="O82" s="313"/>
      <c r="P82" s="313"/>
      <c r="Q82" s="313"/>
      <c r="R82" s="313"/>
    </row>
    <row r="83" spans="6:18" x14ac:dyDescent="0.25">
      <c r="F83" s="240"/>
      <c r="G83" s="240"/>
      <c r="H83" s="240"/>
      <c r="I83" s="240"/>
      <c r="J83" s="240"/>
      <c r="K83" s="313"/>
      <c r="L83" s="313"/>
      <c r="M83" s="313"/>
      <c r="N83" s="313"/>
      <c r="O83" s="313"/>
      <c r="P83" s="313"/>
      <c r="Q83" s="313"/>
      <c r="R83" s="313"/>
    </row>
    <row r="84" spans="6:18" x14ac:dyDescent="0.25">
      <c r="F84" s="240"/>
      <c r="G84" s="240"/>
      <c r="H84" s="240"/>
      <c r="I84" s="240"/>
      <c r="J84" s="240"/>
      <c r="K84" s="313"/>
      <c r="L84" s="313"/>
      <c r="M84" s="313"/>
      <c r="N84" s="313"/>
      <c r="O84" s="313"/>
      <c r="P84" s="313"/>
      <c r="Q84" s="313"/>
      <c r="R84" s="313"/>
    </row>
    <row r="85" spans="6:18" x14ac:dyDescent="0.25">
      <c r="F85" s="240"/>
      <c r="G85" s="240"/>
      <c r="H85" s="240"/>
      <c r="I85" s="240"/>
      <c r="J85" s="240"/>
      <c r="K85" s="313"/>
      <c r="L85" s="313"/>
      <c r="M85" s="313"/>
      <c r="N85" s="313"/>
      <c r="O85" s="313"/>
      <c r="P85" s="313"/>
      <c r="Q85" s="313"/>
      <c r="R85" s="313"/>
    </row>
    <row r="86" spans="6:18" x14ac:dyDescent="0.25">
      <c r="F86" s="240"/>
      <c r="G86" s="240"/>
      <c r="H86" s="240"/>
      <c r="I86" s="240"/>
      <c r="J86" s="240"/>
      <c r="K86" s="313"/>
      <c r="L86" s="313"/>
      <c r="M86" s="313"/>
      <c r="N86" s="313"/>
      <c r="O86" s="313"/>
      <c r="P86" s="313"/>
      <c r="Q86" s="313"/>
      <c r="R86" s="313"/>
    </row>
    <row r="87" spans="6:18" x14ac:dyDescent="0.25">
      <c r="F87" s="240"/>
      <c r="G87" s="240"/>
      <c r="H87" s="240"/>
      <c r="I87" s="240"/>
      <c r="J87" s="240"/>
    </row>
    <row r="88" spans="6:18" x14ac:dyDescent="0.25">
      <c r="F88" s="240"/>
      <c r="G88" s="240"/>
      <c r="H88" s="240"/>
      <c r="I88" s="240"/>
      <c r="J88" s="240"/>
    </row>
  </sheetData>
  <sheetProtection algorithmName="SHA-512" hashValue="9MMIqkbr4/7bUdcDn0f3Q5badRJGjlPVbx8tmI7V5LFtEqTpvgXRy2tNl6Rbg4opjeQsgL80v7vZm4+m8H7VSw==" saltValue="ep/2/kEHrSHNS1Gf29h+iQ==" spinCount="100000" sheet="1" objects="1" scenarios="1"/>
  <mergeCells count="20">
    <mergeCell ref="H5:P26"/>
    <mergeCell ref="F35:J44"/>
    <mergeCell ref="F46:J55"/>
    <mergeCell ref="B2:V3"/>
    <mergeCell ref="B32:V33"/>
    <mergeCell ref="F27:R28"/>
    <mergeCell ref="F29:R30"/>
    <mergeCell ref="F57:J66"/>
    <mergeCell ref="F68:J77"/>
    <mergeCell ref="F79:J88"/>
    <mergeCell ref="K35:R35"/>
    <mergeCell ref="K46:R46"/>
    <mergeCell ref="K37:R43"/>
    <mergeCell ref="K48:R54"/>
    <mergeCell ref="K57:R57"/>
    <mergeCell ref="K59:R65"/>
    <mergeCell ref="K68:R68"/>
    <mergeCell ref="K79:R79"/>
    <mergeCell ref="K70:R76"/>
    <mergeCell ref="K81:R86"/>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V48"/>
  <sheetViews>
    <sheetView workbookViewId="0">
      <selection activeCell="B2" sqref="B2:V3"/>
    </sheetView>
  </sheetViews>
  <sheetFormatPr defaultRowHeight="15" x14ac:dyDescent="0.25"/>
  <sheetData>
    <row r="2" spans="2:22" ht="15" customHeight="1" x14ac:dyDescent="0.25">
      <c r="B2" s="230" t="s">
        <v>187</v>
      </c>
      <c r="C2" s="230"/>
      <c r="D2" s="230"/>
      <c r="E2" s="230"/>
      <c r="F2" s="230"/>
      <c r="G2" s="230"/>
      <c r="H2" s="230"/>
      <c r="I2" s="230"/>
      <c r="J2" s="230"/>
      <c r="K2" s="230"/>
      <c r="L2" s="230"/>
      <c r="M2" s="230"/>
      <c r="N2" s="230"/>
      <c r="O2" s="230"/>
      <c r="P2" s="230"/>
      <c r="Q2" s="230"/>
      <c r="R2" s="230"/>
      <c r="S2" s="230"/>
      <c r="T2" s="230"/>
      <c r="U2" s="230"/>
      <c r="V2" s="230"/>
    </row>
    <row r="3" spans="2:22" ht="15" customHeight="1" x14ac:dyDescent="0.25">
      <c r="B3" s="230"/>
      <c r="C3" s="230"/>
      <c r="D3" s="230"/>
      <c r="E3" s="230"/>
      <c r="F3" s="230"/>
      <c r="G3" s="230"/>
      <c r="H3" s="230"/>
      <c r="I3" s="230"/>
      <c r="J3" s="230"/>
      <c r="K3" s="230"/>
      <c r="L3" s="230"/>
      <c r="M3" s="230"/>
      <c r="N3" s="230"/>
      <c r="O3" s="230"/>
      <c r="P3" s="230"/>
      <c r="Q3" s="230"/>
      <c r="R3" s="230"/>
      <c r="S3" s="230"/>
      <c r="T3" s="230"/>
      <c r="U3" s="230"/>
      <c r="V3" s="230"/>
    </row>
    <row r="5" spans="2:22" x14ac:dyDescent="0.25">
      <c r="F5" s="240"/>
      <c r="G5" s="240"/>
      <c r="H5" s="240"/>
      <c r="I5" s="240"/>
      <c r="J5" s="240"/>
      <c r="K5" s="240"/>
      <c r="L5" s="240"/>
      <c r="M5" s="240"/>
      <c r="N5" s="240"/>
      <c r="O5" s="240"/>
      <c r="P5" s="240"/>
      <c r="Q5" s="240"/>
      <c r="R5" s="240"/>
    </row>
    <row r="6" spans="2:22" x14ac:dyDescent="0.25">
      <c r="F6" s="240"/>
      <c r="G6" s="240"/>
      <c r="H6" s="240"/>
      <c r="I6" s="240"/>
      <c r="J6" s="240"/>
      <c r="K6" s="240"/>
      <c r="L6" s="240"/>
      <c r="M6" s="240"/>
      <c r="N6" s="240"/>
      <c r="O6" s="240"/>
      <c r="P6" s="240"/>
      <c r="Q6" s="240"/>
      <c r="R6" s="240"/>
    </row>
    <row r="7" spans="2:22" x14ac:dyDescent="0.25">
      <c r="F7" s="240"/>
      <c r="G7" s="240"/>
      <c r="H7" s="240"/>
      <c r="I7" s="240"/>
      <c r="J7" s="240"/>
      <c r="K7" s="240"/>
      <c r="L7" s="240"/>
      <c r="M7" s="240"/>
      <c r="N7" s="240"/>
      <c r="O7" s="240"/>
      <c r="P7" s="240"/>
      <c r="Q7" s="240"/>
      <c r="R7" s="240"/>
    </row>
    <row r="8" spans="2:22" x14ac:dyDescent="0.25">
      <c r="F8" s="240"/>
      <c r="G8" s="240"/>
      <c r="H8" s="240"/>
      <c r="I8" s="240"/>
      <c r="J8" s="240"/>
      <c r="K8" s="240"/>
      <c r="L8" s="240"/>
      <c r="M8" s="240"/>
      <c r="N8" s="240"/>
      <c r="O8" s="240"/>
      <c r="P8" s="240"/>
      <c r="Q8" s="240"/>
      <c r="R8" s="240"/>
    </row>
    <row r="9" spans="2:22" x14ac:dyDescent="0.25">
      <c r="F9" s="240"/>
      <c r="G9" s="240"/>
      <c r="H9" s="240"/>
      <c r="I9" s="240"/>
      <c r="J9" s="240"/>
      <c r="K9" s="240"/>
      <c r="L9" s="240"/>
      <c r="M9" s="240"/>
      <c r="N9" s="240"/>
      <c r="O9" s="240"/>
      <c r="P9" s="240"/>
      <c r="Q9" s="240"/>
      <c r="R9" s="240"/>
    </row>
    <row r="10" spans="2:22" x14ac:dyDescent="0.25">
      <c r="F10" s="240"/>
      <c r="G10" s="240"/>
      <c r="H10" s="240"/>
      <c r="I10" s="240"/>
      <c r="J10" s="240"/>
      <c r="K10" s="240"/>
      <c r="L10" s="240"/>
      <c r="M10" s="240"/>
      <c r="N10" s="240"/>
      <c r="O10" s="240"/>
      <c r="P10" s="240"/>
      <c r="Q10" s="240"/>
      <c r="R10" s="240"/>
    </row>
    <row r="11" spans="2:22" x14ac:dyDescent="0.25">
      <c r="F11" s="240"/>
      <c r="G11" s="240"/>
      <c r="H11" s="240"/>
      <c r="I11" s="240"/>
      <c r="J11" s="240"/>
      <c r="K11" s="240"/>
      <c r="L11" s="240"/>
      <c r="M11" s="240"/>
      <c r="N11" s="240"/>
      <c r="O11" s="240"/>
      <c r="P11" s="240"/>
      <c r="Q11" s="240"/>
      <c r="R11" s="240"/>
    </row>
    <row r="12" spans="2:22" x14ac:dyDescent="0.25">
      <c r="F12" s="240"/>
      <c r="G12" s="240"/>
      <c r="H12" s="240"/>
      <c r="I12" s="240"/>
      <c r="J12" s="240"/>
      <c r="K12" s="240"/>
      <c r="L12" s="240"/>
      <c r="M12" s="240"/>
      <c r="N12" s="240"/>
      <c r="O12" s="240"/>
      <c r="P12" s="240"/>
      <c r="Q12" s="240"/>
      <c r="R12" s="240"/>
    </row>
    <row r="13" spans="2:22" x14ac:dyDescent="0.25">
      <c r="F13" s="240"/>
      <c r="G13" s="240"/>
      <c r="H13" s="240"/>
      <c r="I13" s="240"/>
      <c r="J13" s="240"/>
      <c r="K13" s="240"/>
      <c r="L13" s="240"/>
      <c r="M13" s="240"/>
      <c r="N13" s="240"/>
      <c r="O13" s="240"/>
      <c r="P13" s="240"/>
      <c r="Q13" s="240"/>
      <c r="R13" s="240"/>
    </row>
    <row r="14" spans="2:22" x14ac:dyDescent="0.25">
      <c r="F14" s="240"/>
      <c r="G14" s="240"/>
      <c r="H14" s="240"/>
      <c r="I14" s="240"/>
      <c r="J14" s="240"/>
      <c r="K14" s="240"/>
      <c r="L14" s="240"/>
      <c r="M14" s="240"/>
      <c r="N14" s="240"/>
      <c r="O14" s="240"/>
      <c r="P14" s="240"/>
      <c r="Q14" s="240"/>
      <c r="R14" s="240"/>
    </row>
    <row r="15" spans="2:22" x14ac:dyDescent="0.25">
      <c r="F15" s="240"/>
      <c r="G15" s="240"/>
      <c r="H15" s="240"/>
      <c r="I15" s="240"/>
      <c r="J15" s="240"/>
      <c r="K15" s="240"/>
      <c r="L15" s="240"/>
      <c r="M15" s="240"/>
      <c r="N15" s="240"/>
      <c r="O15" s="240"/>
      <c r="P15" s="240"/>
      <c r="Q15" s="240"/>
      <c r="R15" s="240"/>
    </row>
    <row r="16" spans="2:22" x14ac:dyDescent="0.25">
      <c r="F16" s="240"/>
      <c r="G16" s="240"/>
      <c r="H16" s="240"/>
      <c r="I16" s="240"/>
      <c r="J16" s="240"/>
      <c r="K16" s="240"/>
      <c r="L16" s="240"/>
      <c r="M16" s="240"/>
      <c r="N16" s="240"/>
      <c r="O16" s="240"/>
      <c r="P16" s="240"/>
      <c r="Q16" s="240"/>
      <c r="R16" s="240"/>
    </row>
    <row r="18" spans="2:22" ht="15" customHeight="1" x14ac:dyDescent="0.25">
      <c r="B18" s="230" t="s">
        <v>205</v>
      </c>
      <c r="C18" s="230"/>
      <c r="D18" s="230"/>
      <c r="E18" s="230"/>
      <c r="F18" s="230"/>
      <c r="G18" s="230"/>
      <c r="H18" s="230"/>
      <c r="I18" s="230"/>
      <c r="J18" s="230"/>
      <c r="K18" s="230"/>
      <c r="L18" s="230"/>
      <c r="M18" s="230"/>
      <c r="N18" s="230"/>
      <c r="O18" s="230"/>
      <c r="P18" s="230"/>
      <c r="Q18" s="230"/>
      <c r="R18" s="230"/>
      <c r="S18" s="230"/>
      <c r="T18" s="230"/>
      <c r="U18" s="230"/>
      <c r="V18" s="230"/>
    </row>
    <row r="19" spans="2:22" ht="15" customHeight="1" x14ac:dyDescent="0.25">
      <c r="B19" s="230"/>
      <c r="C19" s="230"/>
      <c r="D19" s="230"/>
      <c r="E19" s="230"/>
      <c r="F19" s="230"/>
      <c r="G19" s="230"/>
      <c r="H19" s="230"/>
      <c r="I19" s="230"/>
      <c r="J19" s="230"/>
      <c r="K19" s="230"/>
      <c r="L19" s="230"/>
      <c r="M19" s="230"/>
      <c r="N19" s="230"/>
      <c r="O19" s="230"/>
      <c r="P19" s="230"/>
      <c r="Q19" s="230"/>
      <c r="R19" s="230"/>
      <c r="S19" s="230"/>
      <c r="T19" s="230"/>
      <c r="U19" s="230"/>
      <c r="V19" s="230"/>
    </row>
    <row r="21" spans="2:22" x14ac:dyDescent="0.25">
      <c r="F21" s="28"/>
      <c r="G21" s="28"/>
      <c r="H21" s="314"/>
      <c r="I21" s="314"/>
      <c r="J21" s="314"/>
      <c r="K21" s="314"/>
      <c r="L21" s="314"/>
      <c r="M21" s="314"/>
      <c r="N21" s="314"/>
      <c r="O21" s="314"/>
      <c r="P21" s="314"/>
      <c r="Q21" s="28"/>
      <c r="R21" s="28"/>
    </row>
    <row r="22" spans="2:22" x14ac:dyDescent="0.25">
      <c r="F22" s="28"/>
      <c r="G22" s="28"/>
      <c r="H22" s="314"/>
      <c r="I22" s="314"/>
      <c r="J22" s="314"/>
      <c r="K22" s="314"/>
      <c r="L22" s="314"/>
      <c r="M22" s="314"/>
      <c r="N22" s="314"/>
      <c r="O22" s="314"/>
      <c r="P22" s="314"/>
      <c r="Q22" s="28"/>
      <c r="R22" s="28"/>
    </row>
    <row r="23" spans="2:22" x14ac:dyDescent="0.25">
      <c r="H23" s="314"/>
      <c r="I23" s="314"/>
      <c r="J23" s="314"/>
      <c r="K23" s="314"/>
      <c r="L23" s="314"/>
      <c r="M23" s="314"/>
      <c r="N23" s="314"/>
      <c r="O23" s="314"/>
      <c r="P23" s="314"/>
    </row>
    <row r="24" spans="2:22" x14ac:dyDescent="0.25">
      <c r="H24" s="314"/>
      <c r="I24" s="314"/>
      <c r="J24" s="314"/>
      <c r="K24" s="314"/>
      <c r="L24" s="314"/>
      <c r="M24" s="314"/>
      <c r="N24" s="314"/>
      <c r="O24" s="314"/>
      <c r="P24" s="314"/>
    </row>
    <row r="25" spans="2:22" x14ac:dyDescent="0.25">
      <c r="H25" s="314"/>
      <c r="I25" s="314"/>
      <c r="J25" s="314"/>
      <c r="K25" s="314"/>
      <c r="L25" s="314"/>
      <c r="M25" s="314"/>
      <c r="N25" s="314"/>
      <c r="O25" s="314"/>
      <c r="P25" s="314"/>
    </row>
    <row r="26" spans="2:22" x14ac:dyDescent="0.25">
      <c r="H26" s="314"/>
      <c r="I26" s="314"/>
      <c r="J26" s="314"/>
      <c r="K26" s="314"/>
      <c r="L26" s="314"/>
      <c r="M26" s="314"/>
      <c r="N26" s="314"/>
      <c r="O26" s="314"/>
      <c r="P26" s="314"/>
    </row>
    <row r="27" spans="2:22" x14ac:dyDescent="0.25">
      <c r="H27" s="314"/>
      <c r="I27" s="314"/>
      <c r="J27" s="314"/>
      <c r="K27" s="314"/>
      <c r="L27" s="314"/>
      <c r="M27" s="314"/>
      <c r="N27" s="314"/>
      <c r="O27" s="314"/>
      <c r="P27" s="314"/>
    </row>
    <row r="28" spans="2:22" x14ac:dyDescent="0.25">
      <c r="H28" s="314"/>
      <c r="I28" s="314"/>
      <c r="J28" s="314"/>
      <c r="K28" s="314"/>
      <c r="L28" s="314"/>
      <c r="M28" s="314"/>
      <c r="N28" s="314"/>
      <c r="O28" s="314"/>
      <c r="P28" s="314"/>
    </row>
    <row r="29" spans="2:22" x14ac:dyDescent="0.25">
      <c r="H29" s="314"/>
      <c r="I29" s="314"/>
      <c r="J29" s="314"/>
      <c r="K29" s="314"/>
      <c r="L29" s="314"/>
      <c r="M29" s="314"/>
      <c r="N29" s="314"/>
      <c r="O29" s="314"/>
      <c r="P29" s="314"/>
    </row>
    <row r="30" spans="2:22" x14ac:dyDescent="0.25">
      <c r="H30" s="314"/>
      <c r="I30" s="314"/>
      <c r="J30" s="314"/>
      <c r="K30" s="314"/>
      <c r="L30" s="314"/>
      <c r="M30" s="314"/>
      <c r="N30" s="314"/>
      <c r="O30" s="314"/>
      <c r="P30" s="314"/>
    </row>
    <row r="31" spans="2:22" x14ac:dyDescent="0.25">
      <c r="H31" s="314"/>
      <c r="I31" s="314"/>
      <c r="J31" s="314"/>
      <c r="K31" s="314"/>
      <c r="L31" s="314"/>
      <c r="M31" s="314"/>
      <c r="N31" s="314"/>
      <c r="O31" s="314"/>
      <c r="P31" s="314"/>
    </row>
    <row r="32" spans="2:22" x14ac:dyDescent="0.25">
      <c r="H32" s="314"/>
      <c r="I32" s="314"/>
      <c r="J32" s="314"/>
      <c r="K32" s="314"/>
      <c r="L32" s="314"/>
      <c r="M32" s="314"/>
      <c r="N32" s="314"/>
      <c r="O32" s="314"/>
      <c r="P32" s="314"/>
    </row>
    <row r="33" spans="8:16" x14ac:dyDescent="0.25">
      <c r="H33" s="314"/>
      <c r="I33" s="314"/>
      <c r="J33" s="314"/>
      <c r="K33" s="314"/>
      <c r="L33" s="314"/>
      <c r="M33" s="314"/>
      <c r="N33" s="314"/>
      <c r="O33" s="314"/>
      <c r="P33" s="314"/>
    </row>
    <row r="34" spans="8:16" x14ac:dyDescent="0.25">
      <c r="H34" s="314"/>
      <c r="I34" s="314"/>
      <c r="J34" s="314"/>
      <c r="K34" s="314"/>
      <c r="L34" s="314"/>
      <c r="M34" s="314"/>
      <c r="N34" s="314"/>
      <c r="O34" s="314"/>
      <c r="P34" s="314"/>
    </row>
    <row r="35" spans="8:16" x14ac:dyDescent="0.25">
      <c r="H35" s="314"/>
      <c r="I35" s="314"/>
      <c r="J35" s="314"/>
      <c r="K35" s="314"/>
      <c r="L35" s="314"/>
      <c r="M35" s="314"/>
      <c r="N35" s="314"/>
      <c r="O35" s="314"/>
      <c r="P35" s="314"/>
    </row>
    <row r="36" spans="8:16" x14ac:dyDescent="0.25">
      <c r="H36" s="314"/>
      <c r="I36" s="314"/>
      <c r="J36" s="314"/>
      <c r="K36" s="314"/>
      <c r="L36" s="314"/>
      <c r="M36" s="314"/>
      <c r="N36" s="314"/>
      <c r="O36" s="314"/>
      <c r="P36" s="314"/>
    </row>
    <row r="37" spans="8:16" x14ac:dyDescent="0.25">
      <c r="H37" s="314"/>
      <c r="I37" s="314"/>
      <c r="J37" s="314"/>
      <c r="K37" s="314"/>
      <c r="L37" s="314"/>
      <c r="M37" s="314"/>
      <c r="N37" s="314"/>
      <c r="O37" s="314"/>
      <c r="P37" s="314"/>
    </row>
    <row r="38" spans="8:16" x14ac:dyDescent="0.25">
      <c r="H38" s="314"/>
      <c r="I38" s="314"/>
      <c r="J38" s="314"/>
      <c r="K38" s="314"/>
      <c r="L38" s="314"/>
      <c r="M38" s="314"/>
      <c r="N38" s="314"/>
      <c r="O38" s="314"/>
      <c r="P38" s="314"/>
    </row>
    <row r="39" spans="8:16" x14ac:dyDescent="0.25">
      <c r="H39" s="314"/>
      <c r="I39" s="314"/>
      <c r="J39" s="314"/>
      <c r="K39" s="314"/>
      <c r="L39" s="314"/>
      <c r="M39" s="314"/>
      <c r="N39" s="314"/>
      <c r="O39" s="314"/>
      <c r="P39" s="314"/>
    </row>
    <row r="40" spans="8:16" x14ac:dyDescent="0.25">
      <c r="H40" s="314"/>
      <c r="I40" s="314"/>
      <c r="J40" s="314"/>
      <c r="K40" s="314"/>
      <c r="L40" s="314"/>
      <c r="M40" s="314"/>
      <c r="N40" s="314"/>
      <c r="O40" s="314"/>
      <c r="P40" s="314"/>
    </row>
    <row r="41" spans="8:16" x14ac:dyDescent="0.25">
      <c r="H41" s="314"/>
      <c r="I41" s="314"/>
      <c r="J41" s="314"/>
      <c r="K41" s="314"/>
      <c r="L41" s="314"/>
      <c r="M41" s="314"/>
      <c r="N41" s="314"/>
      <c r="O41" s="314"/>
      <c r="P41" s="314"/>
    </row>
    <row r="42" spans="8:16" x14ac:dyDescent="0.25">
      <c r="H42" s="314"/>
      <c r="I42" s="314"/>
      <c r="J42" s="314"/>
      <c r="K42" s="314"/>
      <c r="L42" s="314"/>
      <c r="M42" s="314"/>
      <c r="N42" s="314"/>
      <c r="O42" s="314"/>
      <c r="P42" s="314"/>
    </row>
    <row r="43" spans="8:16" x14ac:dyDescent="0.25">
      <c r="H43" s="314"/>
      <c r="I43" s="314"/>
      <c r="J43" s="314"/>
      <c r="K43" s="314"/>
      <c r="L43" s="314"/>
      <c r="M43" s="314"/>
      <c r="N43" s="314"/>
      <c r="O43" s="314"/>
      <c r="P43" s="314"/>
    </row>
    <row r="44" spans="8:16" x14ac:dyDescent="0.25">
      <c r="H44" s="314"/>
      <c r="I44" s="314"/>
      <c r="J44" s="314"/>
      <c r="K44" s="314"/>
      <c r="L44" s="314"/>
      <c r="M44" s="314"/>
      <c r="N44" s="314"/>
      <c r="O44" s="314"/>
      <c r="P44" s="314"/>
    </row>
    <row r="45" spans="8:16" x14ac:dyDescent="0.25">
      <c r="H45" s="314"/>
      <c r="I45" s="314"/>
      <c r="J45" s="314"/>
      <c r="K45" s="314"/>
      <c r="L45" s="314"/>
      <c r="M45" s="314"/>
      <c r="N45" s="314"/>
      <c r="O45" s="314"/>
      <c r="P45" s="314"/>
    </row>
    <row r="46" spans="8:16" x14ac:dyDescent="0.25">
      <c r="H46" s="314"/>
      <c r="I46" s="314"/>
      <c r="J46" s="314"/>
      <c r="K46" s="314"/>
      <c r="L46" s="314"/>
      <c r="M46" s="314"/>
      <c r="N46" s="314"/>
      <c r="O46" s="314"/>
      <c r="P46" s="314"/>
    </row>
    <row r="47" spans="8:16" x14ac:dyDescent="0.25">
      <c r="H47" s="314"/>
      <c r="I47" s="314"/>
      <c r="J47" s="314"/>
      <c r="K47" s="314"/>
      <c r="L47" s="314"/>
      <c r="M47" s="314"/>
      <c r="N47" s="314"/>
      <c r="O47" s="314"/>
      <c r="P47" s="314"/>
    </row>
    <row r="48" spans="8:16" x14ac:dyDescent="0.25">
      <c r="H48" s="314"/>
      <c r="I48" s="314"/>
      <c r="J48" s="314"/>
      <c r="K48" s="314"/>
      <c r="L48" s="314"/>
      <c r="M48" s="314"/>
      <c r="N48" s="314"/>
      <c r="O48" s="314"/>
      <c r="P48" s="314"/>
    </row>
  </sheetData>
  <sheetProtection algorithmName="SHA-512" hashValue="VBY20gCs78vs6ifCjizMZTHUUQ0D4SaeTIxGZOaPvZGlgmdr2Gte2g47+Pk24Vnetl1wCOKZu7QtVSy1mrsrAQ==" saltValue="v8ii4Dj72GNdk2+HM3J++A==" spinCount="100000" sheet="1" objects="1" scenarios="1"/>
  <mergeCells count="4">
    <mergeCell ref="H21:P48"/>
    <mergeCell ref="F5:R16"/>
    <mergeCell ref="B2:V3"/>
    <mergeCell ref="B18:V19"/>
  </mergeCells>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V47"/>
  <sheetViews>
    <sheetView workbookViewId="0">
      <selection activeCell="B2" sqref="B2:V3"/>
    </sheetView>
  </sheetViews>
  <sheetFormatPr defaultRowHeight="15" x14ac:dyDescent="0.25"/>
  <sheetData>
    <row r="2" spans="2:22" ht="15" customHeight="1" x14ac:dyDescent="0.25">
      <c r="B2" s="230" t="s">
        <v>234</v>
      </c>
      <c r="C2" s="230"/>
      <c r="D2" s="230"/>
      <c r="E2" s="230"/>
      <c r="F2" s="230"/>
      <c r="G2" s="230"/>
      <c r="H2" s="230"/>
      <c r="I2" s="230"/>
      <c r="J2" s="230"/>
      <c r="K2" s="230"/>
      <c r="L2" s="230"/>
      <c r="M2" s="230"/>
      <c r="N2" s="230"/>
      <c r="O2" s="230"/>
      <c r="P2" s="230"/>
      <c r="Q2" s="230"/>
      <c r="R2" s="230"/>
      <c r="S2" s="230"/>
      <c r="T2" s="230"/>
      <c r="U2" s="230"/>
      <c r="V2" s="230"/>
    </row>
    <row r="3" spans="2:22" ht="15" customHeight="1" x14ac:dyDescent="0.25">
      <c r="B3" s="230"/>
      <c r="C3" s="230"/>
      <c r="D3" s="230"/>
      <c r="E3" s="230"/>
      <c r="F3" s="230"/>
      <c r="G3" s="230"/>
      <c r="H3" s="230"/>
      <c r="I3" s="230"/>
      <c r="J3" s="230"/>
      <c r="K3" s="230"/>
      <c r="L3" s="230"/>
      <c r="M3" s="230"/>
      <c r="N3" s="230"/>
      <c r="O3" s="230"/>
      <c r="P3" s="230"/>
      <c r="Q3" s="230"/>
      <c r="R3" s="230"/>
      <c r="S3" s="230"/>
      <c r="T3" s="230"/>
      <c r="U3" s="230"/>
      <c r="V3" s="230"/>
    </row>
    <row r="5" spans="2:22" x14ac:dyDescent="0.25">
      <c r="F5" s="240"/>
      <c r="G5" s="240"/>
      <c r="H5" s="240"/>
      <c r="I5" s="240"/>
      <c r="J5" s="240"/>
      <c r="K5" s="240"/>
      <c r="L5" s="240"/>
      <c r="M5" s="240"/>
      <c r="N5" s="240"/>
      <c r="O5" s="240"/>
      <c r="P5" s="240"/>
      <c r="Q5" s="240"/>
      <c r="R5" s="240"/>
    </row>
    <row r="6" spans="2:22" x14ac:dyDescent="0.25">
      <c r="F6" s="240"/>
      <c r="G6" s="240"/>
      <c r="H6" s="240"/>
      <c r="I6" s="240"/>
      <c r="J6" s="240"/>
      <c r="K6" s="240"/>
      <c r="L6" s="240"/>
      <c r="M6" s="240"/>
      <c r="N6" s="240"/>
      <c r="O6" s="240"/>
      <c r="P6" s="240"/>
      <c r="Q6" s="240"/>
      <c r="R6" s="240"/>
    </row>
    <row r="7" spans="2:22" x14ac:dyDescent="0.25">
      <c r="F7" s="240"/>
      <c r="G7" s="240"/>
      <c r="H7" s="240"/>
      <c r="I7" s="240"/>
      <c r="J7" s="240"/>
      <c r="K7" s="240"/>
      <c r="L7" s="240"/>
      <c r="M7" s="240"/>
      <c r="N7" s="240"/>
      <c r="O7" s="240"/>
      <c r="P7" s="240"/>
      <c r="Q7" s="240"/>
      <c r="R7" s="240"/>
    </row>
    <row r="8" spans="2:22" x14ac:dyDescent="0.25">
      <c r="F8" s="240"/>
      <c r="G8" s="240"/>
      <c r="H8" s="240"/>
      <c r="I8" s="240"/>
      <c r="J8" s="240"/>
      <c r="K8" s="240"/>
      <c r="L8" s="240"/>
      <c r="M8" s="240"/>
      <c r="N8" s="240"/>
      <c r="O8" s="240"/>
      <c r="P8" s="240"/>
      <c r="Q8" s="240"/>
      <c r="R8" s="240"/>
    </row>
    <row r="9" spans="2:22" x14ac:dyDescent="0.25">
      <c r="F9" s="240"/>
      <c r="G9" s="240"/>
      <c r="H9" s="240"/>
      <c r="I9" s="240"/>
      <c r="J9" s="240"/>
      <c r="K9" s="240"/>
      <c r="L9" s="240"/>
      <c r="M9" s="240"/>
      <c r="N9" s="240"/>
      <c r="O9" s="240"/>
      <c r="P9" s="240"/>
      <c r="Q9" s="240"/>
      <c r="R9" s="240"/>
    </row>
    <row r="10" spans="2:22" x14ac:dyDescent="0.25">
      <c r="F10" s="240"/>
      <c r="G10" s="240"/>
      <c r="H10" s="240"/>
      <c r="I10" s="240"/>
      <c r="J10" s="240"/>
      <c r="K10" s="240"/>
      <c r="L10" s="240"/>
      <c r="M10" s="240"/>
      <c r="N10" s="240"/>
      <c r="O10" s="240"/>
      <c r="P10" s="240"/>
      <c r="Q10" s="240"/>
      <c r="R10" s="240"/>
    </row>
    <row r="11" spans="2:22" x14ac:dyDescent="0.25">
      <c r="F11" s="240"/>
      <c r="G11" s="240"/>
      <c r="H11" s="240"/>
      <c r="I11" s="240"/>
      <c r="J11" s="240"/>
      <c r="K11" s="240"/>
      <c r="L11" s="240"/>
      <c r="M11" s="240"/>
      <c r="N11" s="240"/>
      <c r="O11" s="240"/>
      <c r="P11" s="240"/>
      <c r="Q11" s="240"/>
      <c r="R11" s="240"/>
    </row>
    <row r="12" spans="2:22" x14ac:dyDescent="0.25">
      <c r="F12" s="240"/>
      <c r="G12" s="240"/>
      <c r="H12" s="240"/>
      <c r="I12" s="240"/>
      <c r="J12" s="240"/>
      <c r="K12" s="240"/>
      <c r="L12" s="240"/>
      <c r="M12" s="240"/>
      <c r="N12" s="240"/>
      <c r="O12" s="240"/>
      <c r="P12" s="240"/>
      <c r="Q12" s="240"/>
      <c r="R12" s="240"/>
    </row>
    <row r="13" spans="2:22" x14ac:dyDescent="0.25">
      <c r="F13" s="240"/>
      <c r="G13" s="240"/>
      <c r="H13" s="240"/>
      <c r="I13" s="240"/>
      <c r="J13" s="240"/>
      <c r="K13" s="240"/>
      <c r="L13" s="240"/>
      <c r="M13" s="240"/>
      <c r="N13" s="240"/>
      <c r="O13" s="240"/>
      <c r="P13" s="240"/>
      <c r="Q13" s="240"/>
      <c r="R13" s="240"/>
    </row>
    <row r="14" spans="2:22" x14ac:dyDescent="0.25">
      <c r="F14" s="240"/>
      <c r="G14" s="240"/>
      <c r="H14" s="240"/>
      <c r="I14" s="240"/>
      <c r="J14" s="240"/>
      <c r="K14" s="240"/>
      <c r="L14" s="240"/>
      <c r="M14" s="240"/>
      <c r="N14" s="240"/>
      <c r="O14" s="240"/>
      <c r="P14" s="240"/>
      <c r="Q14" s="240"/>
      <c r="R14" s="240"/>
    </row>
    <row r="15" spans="2:22" x14ac:dyDescent="0.25">
      <c r="F15" s="240"/>
      <c r="G15" s="240"/>
      <c r="H15" s="240"/>
      <c r="I15" s="240"/>
      <c r="J15" s="240"/>
      <c r="K15" s="240"/>
      <c r="L15" s="240"/>
      <c r="M15" s="240"/>
      <c r="N15" s="240"/>
      <c r="O15" s="240"/>
      <c r="P15" s="240"/>
      <c r="Q15" s="240"/>
      <c r="R15" s="240"/>
    </row>
    <row r="16" spans="2:22" x14ac:dyDescent="0.25">
      <c r="F16" s="240"/>
      <c r="G16" s="240"/>
      <c r="H16" s="240"/>
      <c r="I16" s="240"/>
      <c r="J16" s="240"/>
      <c r="K16" s="240"/>
      <c r="L16" s="240"/>
      <c r="M16" s="240"/>
      <c r="N16" s="240"/>
      <c r="O16" s="240"/>
      <c r="P16" s="240"/>
      <c r="Q16" s="240"/>
      <c r="R16" s="240"/>
    </row>
    <row r="17" spans="6:18" x14ac:dyDescent="0.25">
      <c r="F17" s="240"/>
      <c r="G17" s="240"/>
      <c r="H17" s="240"/>
      <c r="I17" s="240"/>
      <c r="J17" s="240"/>
      <c r="K17" s="240"/>
      <c r="L17" s="240"/>
      <c r="M17" s="240"/>
      <c r="N17" s="240"/>
      <c r="O17" s="240"/>
      <c r="P17" s="240"/>
      <c r="Q17" s="240"/>
      <c r="R17" s="240"/>
    </row>
    <row r="18" spans="6:18" x14ac:dyDescent="0.25">
      <c r="F18" s="240"/>
      <c r="G18" s="240"/>
      <c r="H18" s="240"/>
      <c r="I18" s="240"/>
      <c r="J18" s="240"/>
      <c r="K18" s="240"/>
      <c r="L18" s="240"/>
      <c r="M18" s="240"/>
      <c r="N18" s="240"/>
      <c r="O18" s="240"/>
      <c r="P18" s="240"/>
      <c r="Q18" s="240"/>
      <c r="R18" s="240"/>
    </row>
    <row r="19" spans="6:18" x14ac:dyDescent="0.25">
      <c r="F19" s="240"/>
      <c r="G19" s="240"/>
      <c r="H19" s="240"/>
      <c r="I19" s="240"/>
      <c r="J19" s="240"/>
      <c r="K19" s="240"/>
      <c r="L19" s="240"/>
      <c r="M19" s="240"/>
      <c r="N19" s="240"/>
      <c r="O19" s="240"/>
      <c r="P19" s="240"/>
      <c r="Q19" s="240"/>
      <c r="R19" s="240"/>
    </row>
    <row r="20" spans="6:18" x14ac:dyDescent="0.25">
      <c r="F20" s="240"/>
      <c r="G20" s="240"/>
      <c r="H20" s="240"/>
      <c r="I20" s="240"/>
      <c r="J20" s="240"/>
      <c r="K20" s="240"/>
      <c r="L20" s="240"/>
      <c r="M20" s="240"/>
      <c r="N20" s="240"/>
      <c r="O20" s="240"/>
      <c r="P20" s="240"/>
      <c r="Q20" s="240"/>
      <c r="R20" s="240"/>
    </row>
    <row r="21" spans="6:18" x14ac:dyDescent="0.25">
      <c r="F21" s="240"/>
      <c r="G21" s="240"/>
      <c r="H21" s="240"/>
      <c r="I21" s="240"/>
      <c r="J21" s="240"/>
      <c r="K21" s="240"/>
      <c r="L21" s="240"/>
      <c r="M21" s="240"/>
      <c r="N21" s="240"/>
      <c r="O21" s="240"/>
      <c r="P21" s="240"/>
      <c r="Q21" s="240"/>
      <c r="R21" s="240"/>
    </row>
    <row r="22" spans="6:18" x14ac:dyDescent="0.25">
      <c r="F22" s="240"/>
      <c r="G22" s="240"/>
      <c r="H22" s="240"/>
      <c r="I22" s="240"/>
      <c r="J22" s="240"/>
      <c r="K22" s="240"/>
      <c r="L22" s="240"/>
      <c r="M22" s="240"/>
      <c r="N22" s="240"/>
      <c r="O22" s="240"/>
      <c r="P22" s="240"/>
      <c r="Q22" s="240"/>
      <c r="R22" s="240"/>
    </row>
    <row r="23" spans="6:18" x14ac:dyDescent="0.25">
      <c r="F23" s="240"/>
      <c r="G23" s="240"/>
      <c r="H23" s="240"/>
      <c r="I23" s="240"/>
      <c r="J23" s="240"/>
      <c r="K23" s="240"/>
      <c r="L23" s="240"/>
      <c r="M23" s="240"/>
      <c r="N23" s="240"/>
      <c r="O23" s="240"/>
      <c r="P23" s="240"/>
      <c r="Q23" s="240"/>
      <c r="R23" s="240"/>
    </row>
    <row r="24" spans="6:18" x14ac:dyDescent="0.25">
      <c r="F24" s="240"/>
      <c r="G24" s="240"/>
      <c r="H24" s="240"/>
      <c r="I24" s="240"/>
      <c r="J24" s="240"/>
      <c r="K24" s="240"/>
      <c r="L24" s="240"/>
      <c r="M24" s="240"/>
      <c r="N24" s="240"/>
      <c r="O24" s="240"/>
      <c r="P24" s="240"/>
      <c r="Q24" s="240"/>
      <c r="R24" s="240"/>
    </row>
    <row r="25" spans="6:18" x14ac:dyDescent="0.25">
      <c r="F25" s="240"/>
      <c r="G25" s="240"/>
      <c r="H25" s="240"/>
      <c r="I25" s="240"/>
      <c r="J25" s="240"/>
      <c r="K25" s="240"/>
      <c r="L25" s="240"/>
      <c r="M25" s="240"/>
      <c r="N25" s="240"/>
      <c r="O25" s="240"/>
      <c r="P25" s="240"/>
      <c r="Q25" s="240"/>
      <c r="R25" s="240"/>
    </row>
    <row r="26" spans="6:18" x14ac:dyDescent="0.25">
      <c r="F26" s="240"/>
      <c r="G26" s="240"/>
      <c r="H26" s="240"/>
      <c r="I26" s="240"/>
      <c r="J26" s="240"/>
      <c r="K26" s="240"/>
      <c r="L26" s="240"/>
      <c r="M26" s="240"/>
      <c r="N26" s="240"/>
      <c r="O26" s="240"/>
      <c r="P26" s="240"/>
      <c r="Q26" s="240"/>
      <c r="R26" s="240"/>
    </row>
    <row r="27" spans="6:18" x14ac:dyDescent="0.25">
      <c r="F27" s="240"/>
      <c r="G27" s="240"/>
      <c r="H27" s="240"/>
      <c r="I27" s="240"/>
      <c r="J27" s="240"/>
      <c r="K27" s="240"/>
      <c r="L27" s="240"/>
      <c r="M27" s="240"/>
      <c r="N27" s="240"/>
      <c r="O27" s="240"/>
      <c r="P27" s="240"/>
      <c r="Q27" s="240"/>
      <c r="R27" s="240"/>
    </row>
    <row r="28" spans="6:18" x14ac:dyDescent="0.25">
      <c r="F28" s="240"/>
      <c r="G28" s="240"/>
      <c r="H28" s="240"/>
      <c r="I28" s="240"/>
      <c r="J28" s="240"/>
      <c r="K28" s="240"/>
      <c r="L28" s="240"/>
      <c r="M28" s="240"/>
      <c r="N28" s="240"/>
      <c r="O28" s="240"/>
      <c r="P28" s="240"/>
      <c r="Q28" s="240"/>
      <c r="R28" s="240"/>
    </row>
    <row r="29" spans="6:18" x14ac:dyDescent="0.25">
      <c r="F29" s="240"/>
      <c r="G29" s="240"/>
      <c r="H29" s="240"/>
      <c r="I29" s="240"/>
      <c r="J29" s="240"/>
      <c r="K29" s="240"/>
      <c r="L29" s="240"/>
      <c r="M29" s="240"/>
      <c r="N29" s="240"/>
      <c r="O29" s="240"/>
      <c r="P29" s="240"/>
      <c r="Q29" s="240"/>
      <c r="R29" s="240"/>
    </row>
    <row r="30" spans="6:18" x14ac:dyDescent="0.25">
      <c r="F30" s="240"/>
      <c r="G30" s="240"/>
      <c r="H30" s="240"/>
      <c r="I30" s="240"/>
      <c r="J30" s="240"/>
      <c r="K30" s="240"/>
      <c r="L30" s="240"/>
      <c r="M30" s="240"/>
      <c r="N30" s="240"/>
      <c r="O30" s="240"/>
      <c r="P30" s="240"/>
      <c r="Q30" s="240"/>
      <c r="R30" s="240"/>
    </row>
    <row r="31" spans="6:18" x14ac:dyDescent="0.25">
      <c r="F31" s="240"/>
      <c r="G31" s="240"/>
      <c r="H31" s="240"/>
      <c r="I31" s="240"/>
      <c r="J31" s="240"/>
      <c r="K31" s="240"/>
      <c r="L31" s="240"/>
      <c r="M31" s="240"/>
      <c r="N31" s="240"/>
      <c r="O31" s="240"/>
      <c r="P31" s="240"/>
      <c r="Q31" s="240"/>
      <c r="R31" s="240"/>
    </row>
    <row r="32" spans="6:18" x14ac:dyDescent="0.25">
      <c r="F32" s="240"/>
      <c r="G32" s="240"/>
      <c r="H32" s="240"/>
      <c r="I32" s="240"/>
      <c r="J32" s="240"/>
      <c r="K32" s="240"/>
      <c r="L32" s="240"/>
      <c r="M32" s="240"/>
      <c r="N32" s="240"/>
      <c r="O32" s="240"/>
      <c r="P32" s="240"/>
      <c r="Q32" s="240"/>
      <c r="R32" s="240"/>
    </row>
    <row r="33" spans="6:18" x14ac:dyDescent="0.25">
      <c r="F33" s="240"/>
      <c r="G33" s="240"/>
      <c r="H33" s="240"/>
      <c r="I33" s="240"/>
      <c r="J33" s="240"/>
      <c r="K33" s="240"/>
      <c r="L33" s="240"/>
      <c r="M33" s="240"/>
      <c r="N33" s="240"/>
      <c r="O33" s="240"/>
      <c r="P33" s="240"/>
      <c r="Q33" s="240"/>
      <c r="R33" s="240"/>
    </row>
    <row r="34" spans="6:18" x14ac:dyDescent="0.25">
      <c r="F34" s="240"/>
      <c r="G34" s="240"/>
      <c r="H34" s="240"/>
      <c r="I34" s="240"/>
      <c r="J34" s="240"/>
      <c r="K34" s="240"/>
      <c r="L34" s="240"/>
      <c r="M34" s="240"/>
      <c r="N34" s="240"/>
      <c r="O34" s="240"/>
      <c r="P34" s="240"/>
      <c r="Q34" s="240"/>
      <c r="R34" s="240"/>
    </row>
    <row r="35" spans="6:18" x14ac:dyDescent="0.25">
      <c r="F35" s="240"/>
      <c r="G35" s="240"/>
      <c r="H35" s="240"/>
      <c r="I35" s="240"/>
      <c r="J35" s="240"/>
      <c r="K35" s="240"/>
      <c r="L35" s="240"/>
      <c r="M35" s="240"/>
      <c r="N35" s="240"/>
      <c r="O35" s="240"/>
      <c r="P35" s="240"/>
      <c r="Q35" s="240"/>
      <c r="R35" s="240"/>
    </row>
    <row r="36" spans="6:18" x14ac:dyDescent="0.25">
      <c r="F36" s="240"/>
      <c r="G36" s="240"/>
      <c r="H36" s="240"/>
      <c r="I36" s="240"/>
      <c r="J36" s="240"/>
      <c r="K36" s="240"/>
      <c r="L36" s="240"/>
      <c r="M36" s="240"/>
      <c r="N36" s="240"/>
      <c r="O36" s="240"/>
      <c r="P36" s="240"/>
      <c r="Q36" s="240"/>
      <c r="R36" s="240"/>
    </row>
    <row r="37" spans="6:18" x14ac:dyDescent="0.25">
      <c r="F37" s="240"/>
      <c r="G37" s="240"/>
      <c r="H37" s="240"/>
      <c r="I37" s="240"/>
      <c r="J37" s="240"/>
      <c r="K37" s="240"/>
      <c r="L37" s="240"/>
      <c r="M37" s="240"/>
      <c r="N37" s="240"/>
      <c r="O37" s="240"/>
      <c r="P37" s="240"/>
      <c r="Q37" s="240"/>
      <c r="R37" s="240"/>
    </row>
    <row r="38" spans="6:18" x14ac:dyDescent="0.25">
      <c r="F38" s="240"/>
      <c r="G38" s="240"/>
      <c r="H38" s="240"/>
      <c r="I38" s="240"/>
      <c r="J38" s="240"/>
      <c r="K38" s="240"/>
      <c r="L38" s="240"/>
      <c r="M38" s="240"/>
      <c r="N38" s="240"/>
      <c r="O38" s="240"/>
      <c r="P38" s="240"/>
      <c r="Q38" s="240"/>
      <c r="R38" s="240"/>
    </row>
    <row r="39" spans="6:18" x14ac:dyDescent="0.25">
      <c r="F39" s="240"/>
      <c r="G39" s="240"/>
      <c r="H39" s="240"/>
      <c r="I39" s="240"/>
      <c r="J39" s="240"/>
      <c r="K39" s="240"/>
      <c r="L39" s="240"/>
      <c r="M39" s="240"/>
      <c r="N39" s="240"/>
      <c r="O39" s="240"/>
      <c r="P39" s="240"/>
      <c r="Q39" s="240"/>
      <c r="R39" s="240"/>
    </row>
    <row r="40" spans="6:18" x14ac:dyDescent="0.25">
      <c r="F40" s="240"/>
      <c r="G40" s="240"/>
      <c r="H40" s="240"/>
      <c r="I40" s="240"/>
      <c r="J40" s="240"/>
      <c r="K40" s="240"/>
      <c r="L40" s="240"/>
      <c r="M40" s="240"/>
      <c r="N40" s="240"/>
      <c r="O40" s="240"/>
      <c r="P40" s="240"/>
      <c r="Q40" s="240"/>
      <c r="R40" s="240"/>
    </row>
    <row r="41" spans="6:18" x14ac:dyDescent="0.25">
      <c r="F41" s="240"/>
      <c r="G41" s="240"/>
      <c r="H41" s="240"/>
      <c r="I41" s="240"/>
      <c r="J41" s="240"/>
      <c r="K41" s="240"/>
      <c r="L41" s="240"/>
      <c r="M41" s="240"/>
      <c r="N41" s="240"/>
      <c r="O41" s="240"/>
      <c r="P41" s="240"/>
      <c r="Q41" s="240"/>
      <c r="R41" s="240"/>
    </row>
    <row r="42" spans="6:18" x14ac:dyDescent="0.25">
      <c r="F42" s="240"/>
      <c r="G42" s="240"/>
      <c r="H42" s="240"/>
      <c r="I42" s="240"/>
      <c r="J42" s="240"/>
      <c r="K42" s="240"/>
      <c r="L42" s="240"/>
      <c r="M42" s="240"/>
      <c r="N42" s="240"/>
      <c r="O42" s="240"/>
      <c r="P42" s="240"/>
      <c r="Q42" s="240"/>
      <c r="R42" s="240"/>
    </row>
    <row r="43" spans="6:18" x14ac:dyDescent="0.25">
      <c r="F43" s="240"/>
      <c r="G43" s="240"/>
      <c r="H43" s="240"/>
      <c r="I43" s="240"/>
      <c r="J43" s="240"/>
      <c r="K43" s="240"/>
      <c r="L43" s="240"/>
      <c r="M43" s="240"/>
      <c r="N43" s="240"/>
      <c r="O43" s="240"/>
      <c r="P43" s="240"/>
      <c r="Q43" s="240"/>
      <c r="R43" s="240"/>
    </row>
    <row r="44" spans="6:18" x14ac:dyDescent="0.25">
      <c r="F44" s="240"/>
      <c r="G44" s="240"/>
      <c r="H44" s="240"/>
      <c r="I44" s="240"/>
      <c r="J44" s="240"/>
      <c r="K44" s="240"/>
      <c r="L44" s="240"/>
      <c r="M44" s="240"/>
      <c r="N44" s="240"/>
      <c r="O44" s="240"/>
      <c r="P44" s="240"/>
      <c r="Q44" s="240"/>
      <c r="R44" s="240"/>
    </row>
    <row r="45" spans="6:18" x14ac:dyDescent="0.25">
      <c r="F45" s="240"/>
      <c r="G45" s="240"/>
      <c r="H45" s="240"/>
      <c r="I45" s="240"/>
      <c r="J45" s="240"/>
      <c r="K45" s="240"/>
      <c r="L45" s="240"/>
      <c r="M45" s="240"/>
      <c r="N45" s="240"/>
      <c r="O45" s="240"/>
      <c r="P45" s="240"/>
      <c r="Q45" s="240"/>
      <c r="R45" s="240"/>
    </row>
    <row r="46" spans="6:18" x14ac:dyDescent="0.25">
      <c r="F46" s="240"/>
      <c r="G46" s="240"/>
      <c r="H46" s="240"/>
      <c r="I46" s="240"/>
      <c r="J46" s="240"/>
      <c r="K46" s="240"/>
      <c r="L46" s="240"/>
      <c r="M46" s="240"/>
      <c r="N46" s="240"/>
      <c r="O46" s="240"/>
      <c r="P46" s="240"/>
      <c r="Q46" s="240"/>
      <c r="R46" s="240"/>
    </row>
    <row r="47" spans="6:18" x14ac:dyDescent="0.25">
      <c r="F47" s="240"/>
      <c r="G47" s="240"/>
      <c r="H47" s="240"/>
      <c r="I47" s="240"/>
      <c r="J47" s="240"/>
      <c r="K47" s="240"/>
      <c r="L47" s="240"/>
      <c r="M47" s="240"/>
      <c r="N47" s="240"/>
      <c r="O47" s="240"/>
      <c r="P47" s="240"/>
      <c r="Q47" s="240"/>
      <c r="R47" s="240"/>
    </row>
  </sheetData>
  <sheetProtection algorithmName="SHA-512" hashValue="IlpiWynjymVK8R7ugwbEqMLN/BXqmOqHkZXIXCgi4Cx1VmWpRWIm8CznASk/s6y/7YXxQQjMT4z9Vi+dgGyQbQ==" saltValue="j0uPXJQu9EHjIA1aADlILA==" spinCount="100000" sheet="1" objects="1" scenarios="1"/>
  <mergeCells count="2">
    <mergeCell ref="F5:R47"/>
    <mergeCell ref="B2:V3"/>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237"/>
  <sheetViews>
    <sheetView zoomScaleNormal="100" zoomScaleSheetLayoutView="70" workbookViewId="0">
      <selection activeCell="B2" sqref="B2:P3"/>
    </sheetView>
  </sheetViews>
  <sheetFormatPr defaultRowHeight="15" x14ac:dyDescent="0.25"/>
  <sheetData>
    <row r="2" spans="2:16" x14ac:dyDescent="0.25">
      <c r="B2" s="218" t="s">
        <v>241</v>
      </c>
      <c r="C2" s="218"/>
      <c r="D2" s="218"/>
      <c r="E2" s="218"/>
      <c r="F2" s="218"/>
      <c r="G2" s="218"/>
      <c r="H2" s="218"/>
      <c r="I2" s="218"/>
      <c r="J2" s="218"/>
      <c r="K2" s="218"/>
      <c r="L2" s="218"/>
      <c r="M2" s="218"/>
      <c r="N2" s="218"/>
      <c r="O2" s="218"/>
      <c r="P2" s="218"/>
    </row>
    <row r="3" spans="2:16" x14ac:dyDescent="0.25">
      <c r="B3" s="218"/>
      <c r="C3" s="218"/>
      <c r="D3" s="218"/>
      <c r="E3" s="218"/>
      <c r="F3" s="218"/>
      <c r="G3" s="218"/>
      <c r="H3" s="218"/>
      <c r="I3" s="218"/>
      <c r="J3" s="218"/>
      <c r="K3" s="218"/>
      <c r="L3" s="218"/>
      <c r="M3" s="218"/>
      <c r="N3" s="218"/>
      <c r="O3" s="218"/>
      <c r="P3" s="218"/>
    </row>
    <row r="5" spans="2:16" x14ac:dyDescent="0.25">
      <c r="B5" s="219" t="s">
        <v>319</v>
      </c>
      <c r="C5" s="219"/>
      <c r="D5" s="219"/>
      <c r="E5" s="219"/>
      <c r="F5" s="219"/>
      <c r="G5" s="219"/>
      <c r="H5" s="219"/>
      <c r="I5" s="219"/>
      <c r="J5" s="219"/>
      <c r="K5" s="219"/>
      <c r="L5" s="219"/>
      <c r="M5" s="219"/>
      <c r="N5" s="219"/>
      <c r="O5" s="219"/>
      <c r="P5" s="219"/>
    </row>
    <row r="6" spans="2:16" x14ac:dyDescent="0.25">
      <c r="B6" s="219"/>
      <c r="C6" s="219"/>
      <c r="D6" s="219"/>
      <c r="E6" s="219"/>
      <c r="F6" s="219"/>
      <c r="G6" s="219"/>
      <c r="H6" s="219"/>
      <c r="I6" s="219"/>
      <c r="J6" s="219"/>
      <c r="K6" s="219"/>
      <c r="L6" s="219"/>
      <c r="M6" s="219"/>
      <c r="N6" s="219"/>
      <c r="O6" s="219"/>
      <c r="P6" s="219"/>
    </row>
    <row r="7" spans="2:16" ht="15" customHeight="1" x14ac:dyDescent="0.25">
      <c r="B7" s="220" t="s">
        <v>331</v>
      </c>
      <c r="C7" s="220"/>
      <c r="D7" s="220"/>
      <c r="E7" s="220"/>
      <c r="F7" s="220"/>
      <c r="G7" s="220"/>
      <c r="H7" s="220"/>
      <c r="I7" s="220"/>
      <c r="J7" s="220"/>
      <c r="K7" s="220"/>
      <c r="L7" s="220"/>
      <c r="M7" s="220"/>
      <c r="N7" s="220"/>
      <c r="O7" s="220"/>
      <c r="P7" s="220"/>
    </row>
    <row r="8" spans="2:16" x14ac:dyDescent="0.25">
      <c r="B8" s="220"/>
      <c r="C8" s="220"/>
      <c r="D8" s="220"/>
      <c r="E8" s="220"/>
      <c r="F8" s="220"/>
      <c r="G8" s="220"/>
      <c r="H8" s="220"/>
      <c r="I8" s="220"/>
      <c r="J8" s="220"/>
      <c r="K8" s="220"/>
      <c r="L8" s="220"/>
      <c r="M8" s="220"/>
      <c r="N8" s="220"/>
      <c r="O8" s="220"/>
      <c r="P8" s="220"/>
    </row>
    <row r="9" spans="2:16" x14ac:dyDescent="0.25">
      <c r="B9" s="220"/>
      <c r="C9" s="220"/>
      <c r="D9" s="220"/>
      <c r="E9" s="220"/>
      <c r="F9" s="220"/>
      <c r="G9" s="220"/>
      <c r="H9" s="220"/>
      <c r="I9" s="220"/>
      <c r="J9" s="220"/>
      <c r="K9" s="220"/>
      <c r="L9" s="220"/>
      <c r="M9" s="220"/>
      <c r="N9" s="220"/>
      <c r="O9" s="220"/>
      <c r="P9" s="220"/>
    </row>
    <row r="10" spans="2:16" x14ac:dyDescent="0.25">
      <c r="B10" s="220"/>
      <c r="C10" s="220"/>
      <c r="D10" s="220"/>
      <c r="E10" s="220"/>
      <c r="F10" s="220"/>
      <c r="G10" s="220"/>
      <c r="H10" s="220"/>
      <c r="I10" s="220"/>
      <c r="J10" s="220"/>
      <c r="K10" s="220"/>
      <c r="L10" s="220"/>
      <c r="M10" s="220"/>
      <c r="N10" s="220"/>
      <c r="O10" s="220"/>
      <c r="P10" s="220"/>
    </row>
    <row r="11" spans="2:16" x14ac:dyDescent="0.25">
      <c r="B11" s="220"/>
      <c r="C11" s="220"/>
      <c r="D11" s="220"/>
      <c r="E11" s="220"/>
      <c r="F11" s="220"/>
      <c r="G11" s="220"/>
      <c r="H11" s="220"/>
      <c r="I11" s="220"/>
      <c r="J11" s="220"/>
      <c r="K11" s="220"/>
      <c r="L11" s="220"/>
      <c r="M11" s="220"/>
      <c r="N11" s="220"/>
      <c r="O11" s="220"/>
      <c r="P11" s="220"/>
    </row>
    <row r="12" spans="2:16" x14ac:dyDescent="0.25">
      <c r="B12" s="220"/>
      <c r="C12" s="220"/>
      <c r="D12" s="220"/>
      <c r="E12" s="220"/>
      <c r="F12" s="220"/>
      <c r="G12" s="220"/>
      <c r="H12" s="220"/>
      <c r="I12" s="220"/>
      <c r="J12" s="220"/>
      <c r="K12" s="220"/>
      <c r="L12" s="220"/>
      <c r="M12" s="220"/>
      <c r="N12" s="220"/>
      <c r="O12" s="220"/>
      <c r="P12" s="220"/>
    </row>
    <row r="13" spans="2:16" x14ac:dyDescent="0.25">
      <c r="B13" s="220"/>
      <c r="C13" s="220"/>
      <c r="D13" s="220"/>
      <c r="E13" s="220"/>
      <c r="F13" s="220"/>
      <c r="G13" s="220"/>
      <c r="H13" s="220"/>
      <c r="I13" s="220"/>
      <c r="J13" s="220"/>
      <c r="K13" s="220"/>
      <c r="L13" s="220"/>
      <c r="M13" s="220"/>
      <c r="N13" s="220"/>
      <c r="O13" s="220"/>
      <c r="P13" s="220"/>
    </row>
    <row r="14" spans="2:16" x14ac:dyDescent="0.25">
      <c r="B14" s="220"/>
      <c r="C14" s="220"/>
      <c r="D14" s="220"/>
      <c r="E14" s="220"/>
      <c r="F14" s="220"/>
      <c r="G14" s="220"/>
      <c r="H14" s="220"/>
      <c r="I14" s="220"/>
      <c r="J14" s="220"/>
      <c r="K14" s="220"/>
      <c r="L14" s="220"/>
      <c r="M14" s="220"/>
      <c r="N14" s="220"/>
      <c r="O14" s="220"/>
      <c r="P14" s="220"/>
    </row>
    <row r="15" spans="2:16" x14ac:dyDescent="0.25">
      <c r="B15" s="220"/>
      <c r="C15" s="220"/>
      <c r="D15" s="220"/>
      <c r="E15" s="220"/>
      <c r="F15" s="220"/>
      <c r="G15" s="220"/>
      <c r="H15" s="220"/>
      <c r="I15" s="220"/>
      <c r="J15" s="220"/>
      <c r="K15" s="220"/>
      <c r="L15" s="220"/>
      <c r="M15" s="220"/>
      <c r="N15" s="220"/>
      <c r="O15" s="220"/>
      <c r="P15" s="220"/>
    </row>
    <row r="16" spans="2:16" x14ac:dyDescent="0.25">
      <c r="B16" s="220"/>
      <c r="C16" s="220"/>
      <c r="D16" s="220"/>
      <c r="E16" s="220"/>
      <c r="F16" s="220"/>
      <c r="G16" s="220"/>
      <c r="H16" s="220"/>
      <c r="I16" s="220"/>
      <c r="J16" s="220"/>
      <c r="K16" s="220"/>
      <c r="L16" s="220"/>
      <c r="M16" s="220"/>
      <c r="N16" s="220"/>
      <c r="O16" s="220"/>
      <c r="P16" s="220"/>
    </row>
    <row r="17" spans="2:16" x14ac:dyDescent="0.25">
      <c r="B17" s="220"/>
      <c r="C17" s="220"/>
      <c r="D17" s="220"/>
      <c r="E17" s="220"/>
      <c r="F17" s="220"/>
      <c r="G17" s="220"/>
      <c r="H17" s="220"/>
      <c r="I17" s="220"/>
      <c r="J17" s="220"/>
      <c r="K17" s="220"/>
      <c r="L17" s="220"/>
      <c r="M17" s="220"/>
      <c r="N17" s="220"/>
      <c r="O17" s="220"/>
      <c r="P17" s="220"/>
    </row>
    <row r="18" spans="2:16" x14ac:dyDescent="0.25">
      <c r="B18" s="220"/>
      <c r="C18" s="220"/>
      <c r="D18" s="220"/>
      <c r="E18" s="220"/>
      <c r="F18" s="220"/>
      <c r="G18" s="220"/>
      <c r="H18" s="220"/>
      <c r="I18" s="220"/>
      <c r="J18" s="220"/>
      <c r="K18" s="220"/>
      <c r="L18" s="220"/>
      <c r="M18" s="220"/>
      <c r="N18" s="220"/>
      <c r="O18" s="220"/>
      <c r="P18" s="220"/>
    </row>
    <row r="19" spans="2:16" x14ac:dyDescent="0.25">
      <c r="B19" s="220"/>
      <c r="C19" s="220"/>
      <c r="D19" s="220"/>
      <c r="E19" s="220"/>
      <c r="F19" s="220"/>
      <c r="G19" s="220"/>
      <c r="H19" s="220"/>
      <c r="I19" s="220"/>
      <c r="J19" s="220"/>
      <c r="K19" s="220"/>
      <c r="L19" s="220"/>
      <c r="M19" s="220"/>
      <c r="N19" s="220"/>
      <c r="O19" s="220"/>
      <c r="P19" s="220"/>
    </row>
    <row r="20" spans="2:16" x14ac:dyDescent="0.25">
      <c r="B20" s="220"/>
      <c r="C20" s="220"/>
      <c r="D20" s="220"/>
      <c r="E20" s="220"/>
      <c r="F20" s="220"/>
      <c r="G20" s="220"/>
      <c r="H20" s="220"/>
      <c r="I20" s="220"/>
      <c r="J20" s="220"/>
      <c r="K20" s="220"/>
      <c r="L20" s="220"/>
      <c r="M20" s="220"/>
      <c r="N20" s="220"/>
      <c r="O20" s="220"/>
      <c r="P20" s="220"/>
    </row>
    <row r="21" spans="2:16" x14ac:dyDescent="0.25">
      <c r="B21" s="220"/>
      <c r="C21" s="220"/>
      <c r="D21" s="220"/>
      <c r="E21" s="220"/>
      <c r="F21" s="220"/>
      <c r="G21" s="220"/>
      <c r="H21" s="220"/>
      <c r="I21" s="220"/>
      <c r="J21" s="220"/>
      <c r="K21" s="220"/>
      <c r="L21" s="220"/>
      <c r="M21" s="220"/>
      <c r="N21" s="220"/>
      <c r="O21" s="220"/>
      <c r="P21" s="220"/>
    </row>
    <row r="22" spans="2:16" x14ac:dyDescent="0.25">
      <c r="B22" s="220"/>
      <c r="C22" s="220"/>
      <c r="D22" s="220"/>
      <c r="E22" s="220"/>
      <c r="F22" s="220"/>
      <c r="G22" s="220"/>
      <c r="H22" s="220"/>
      <c r="I22" s="220"/>
      <c r="J22" s="220"/>
      <c r="K22" s="220"/>
      <c r="L22" s="220"/>
      <c r="M22" s="220"/>
      <c r="N22" s="220"/>
      <c r="O22" s="220"/>
      <c r="P22" s="220"/>
    </row>
    <row r="23" spans="2:16" x14ac:dyDescent="0.25">
      <c r="B23" s="220"/>
      <c r="C23" s="220"/>
      <c r="D23" s="220"/>
      <c r="E23" s="220"/>
      <c r="F23" s="220"/>
      <c r="G23" s="220"/>
      <c r="H23" s="220"/>
      <c r="I23" s="220"/>
      <c r="J23" s="220"/>
      <c r="K23" s="220"/>
      <c r="L23" s="220"/>
      <c r="M23" s="220"/>
      <c r="N23" s="220"/>
      <c r="O23" s="220"/>
      <c r="P23" s="220"/>
    </row>
    <row r="24" spans="2:16" x14ac:dyDescent="0.25">
      <c r="B24" s="220"/>
      <c r="C24" s="220"/>
      <c r="D24" s="220"/>
      <c r="E24" s="220"/>
      <c r="F24" s="220"/>
      <c r="G24" s="220"/>
      <c r="H24" s="220"/>
      <c r="I24" s="220"/>
      <c r="J24" s="220"/>
      <c r="K24" s="220"/>
      <c r="L24" s="220"/>
      <c r="M24" s="220"/>
      <c r="N24" s="220"/>
      <c r="O24" s="220"/>
      <c r="P24" s="220"/>
    </row>
    <row r="25" spans="2:16" x14ac:dyDescent="0.25">
      <c r="B25" s="220"/>
      <c r="C25" s="220"/>
      <c r="D25" s="220"/>
      <c r="E25" s="220"/>
      <c r="F25" s="220"/>
      <c r="G25" s="220"/>
      <c r="H25" s="220"/>
      <c r="I25" s="220"/>
      <c r="J25" s="220"/>
      <c r="K25" s="220"/>
      <c r="L25" s="220"/>
      <c r="M25" s="220"/>
      <c r="N25" s="220"/>
      <c r="O25" s="220"/>
      <c r="P25" s="220"/>
    </row>
    <row r="26" spans="2:16" x14ac:dyDescent="0.25">
      <c r="B26" s="220"/>
      <c r="C26" s="220"/>
      <c r="D26" s="220"/>
      <c r="E26" s="220"/>
      <c r="F26" s="220"/>
      <c r="G26" s="220"/>
      <c r="H26" s="220"/>
      <c r="I26" s="220"/>
      <c r="J26" s="220"/>
      <c r="K26" s="220"/>
      <c r="L26" s="220"/>
      <c r="M26" s="220"/>
      <c r="N26" s="220"/>
      <c r="O26" s="220"/>
      <c r="P26" s="220"/>
    </row>
    <row r="27" spans="2:16" x14ac:dyDescent="0.25">
      <c r="B27" s="220"/>
      <c r="C27" s="220"/>
      <c r="D27" s="220"/>
      <c r="E27" s="220"/>
      <c r="F27" s="220"/>
      <c r="G27" s="220"/>
      <c r="H27" s="220"/>
      <c r="I27" s="220"/>
      <c r="J27" s="220"/>
      <c r="K27" s="220"/>
      <c r="L27" s="220"/>
      <c r="M27" s="220"/>
      <c r="N27" s="220"/>
      <c r="O27" s="220"/>
      <c r="P27" s="220"/>
    </row>
    <row r="28" spans="2:16" x14ac:dyDescent="0.25">
      <c r="B28" s="220"/>
      <c r="C28" s="220"/>
      <c r="D28" s="220"/>
      <c r="E28" s="220"/>
      <c r="F28" s="220"/>
      <c r="G28" s="220"/>
      <c r="H28" s="220"/>
      <c r="I28" s="220"/>
      <c r="J28" s="220"/>
      <c r="K28" s="220"/>
      <c r="L28" s="220"/>
      <c r="M28" s="220"/>
      <c r="N28" s="220"/>
      <c r="O28" s="220"/>
      <c r="P28" s="220"/>
    </row>
    <row r="29" spans="2:16" x14ac:dyDescent="0.25">
      <c r="B29" s="220"/>
      <c r="C29" s="220"/>
      <c r="D29" s="220"/>
      <c r="E29" s="220"/>
      <c r="F29" s="220"/>
      <c r="G29" s="220"/>
      <c r="H29" s="220"/>
      <c r="I29" s="220"/>
      <c r="J29" s="220"/>
      <c r="K29" s="220"/>
      <c r="L29" s="220"/>
      <c r="M29" s="220"/>
      <c r="N29" s="220"/>
      <c r="O29" s="220"/>
      <c r="P29" s="220"/>
    </row>
    <row r="30" spans="2:16" x14ac:dyDescent="0.25">
      <c r="B30" s="220"/>
      <c r="C30" s="220"/>
      <c r="D30" s="220"/>
      <c r="E30" s="220"/>
      <c r="F30" s="220"/>
      <c r="G30" s="220"/>
      <c r="H30" s="220"/>
      <c r="I30" s="220"/>
      <c r="J30" s="220"/>
      <c r="K30" s="220"/>
      <c r="L30" s="220"/>
      <c r="M30" s="220"/>
      <c r="N30" s="220"/>
      <c r="O30" s="220"/>
      <c r="P30" s="220"/>
    </row>
    <row r="31" spans="2:16" x14ac:dyDescent="0.25">
      <c r="B31" s="220"/>
      <c r="C31" s="220"/>
      <c r="D31" s="220"/>
      <c r="E31" s="220"/>
      <c r="F31" s="220"/>
      <c r="G31" s="220"/>
      <c r="H31" s="220"/>
      <c r="I31" s="220"/>
      <c r="J31" s="220"/>
      <c r="K31" s="220"/>
      <c r="L31" s="220"/>
      <c r="M31" s="220"/>
      <c r="N31" s="220"/>
      <c r="O31" s="220"/>
      <c r="P31" s="220"/>
    </row>
    <row r="32" spans="2:16" x14ac:dyDescent="0.25">
      <c r="B32" s="220"/>
      <c r="C32" s="220"/>
      <c r="D32" s="220"/>
      <c r="E32" s="220"/>
      <c r="F32" s="220"/>
      <c r="G32" s="220"/>
      <c r="H32" s="220"/>
      <c r="I32" s="220"/>
      <c r="J32" s="220"/>
      <c r="K32" s="220"/>
      <c r="L32" s="220"/>
      <c r="M32" s="220"/>
      <c r="N32" s="220"/>
      <c r="O32" s="220"/>
      <c r="P32" s="220"/>
    </row>
    <row r="33" spans="2:16" x14ac:dyDescent="0.25">
      <c r="B33" s="220"/>
      <c r="C33" s="220"/>
      <c r="D33" s="220"/>
      <c r="E33" s="220"/>
      <c r="F33" s="220"/>
      <c r="G33" s="220"/>
      <c r="H33" s="220"/>
      <c r="I33" s="220"/>
      <c r="J33" s="220"/>
      <c r="K33" s="220"/>
      <c r="L33" s="220"/>
      <c r="M33" s="220"/>
      <c r="N33" s="220"/>
      <c r="O33" s="220"/>
      <c r="P33" s="220"/>
    </row>
    <row r="34" spans="2:16" x14ac:dyDescent="0.25">
      <c r="B34" s="220"/>
      <c r="C34" s="220"/>
      <c r="D34" s="220"/>
      <c r="E34" s="220"/>
      <c r="F34" s="220"/>
      <c r="G34" s="220"/>
      <c r="H34" s="220"/>
      <c r="I34" s="220"/>
      <c r="J34" s="220"/>
      <c r="K34" s="220"/>
      <c r="L34" s="220"/>
      <c r="M34" s="220"/>
      <c r="N34" s="220"/>
      <c r="O34" s="220"/>
      <c r="P34" s="220"/>
    </row>
    <row r="35" spans="2:16" x14ac:dyDescent="0.25">
      <c r="B35" s="220"/>
      <c r="C35" s="220"/>
      <c r="D35" s="220"/>
      <c r="E35" s="220"/>
      <c r="F35" s="220"/>
      <c r="G35" s="220"/>
      <c r="H35" s="220"/>
      <c r="I35" s="220"/>
      <c r="J35" s="220"/>
      <c r="K35" s="220"/>
      <c r="L35" s="220"/>
      <c r="M35" s="220"/>
      <c r="N35" s="220"/>
      <c r="O35" s="220"/>
      <c r="P35" s="220"/>
    </row>
    <row r="36" spans="2:16" x14ac:dyDescent="0.25">
      <c r="B36" s="220"/>
      <c r="C36" s="220"/>
      <c r="D36" s="220"/>
      <c r="E36" s="220"/>
      <c r="F36" s="220"/>
      <c r="G36" s="220"/>
      <c r="H36" s="220"/>
      <c r="I36" s="220"/>
      <c r="J36" s="220"/>
      <c r="K36" s="220"/>
      <c r="L36" s="220"/>
      <c r="M36" s="220"/>
      <c r="N36" s="220"/>
      <c r="O36" s="220"/>
      <c r="P36" s="220"/>
    </row>
    <row r="37" spans="2:16" x14ac:dyDescent="0.25">
      <c r="B37" s="220"/>
      <c r="C37" s="220"/>
      <c r="D37" s="220"/>
      <c r="E37" s="220"/>
      <c r="F37" s="220"/>
      <c r="G37" s="220"/>
      <c r="H37" s="220"/>
      <c r="I37" s="220"/>
      <c r="J37" s="220"/>
      <c r="K37" s="220"/>
      <c r="L37" s="220"/>
      <c r="M37" s="220"/>
      <c r="N37" s="220"/>
      <c r="O37" s="220"/>
      <c r="P37" s="220"/>
    </row>
    <row r="38" spans="2:16" x14ac:dyDescent="0.25">
      <c r="B38" s="220"/>
      <c r="C38" s="220"/>
      <c r="D38" s="220"/>
      <c r="E38" s="220"/>
      <c r="F38" s="220"/>
      <c r="G38" s="220"/>
      <c r="H38" s="220"/>
      <c r="I38" s="220"/>
      <c r="J38" s="220"/>
      <c r="K38" s="220"/>
      <c r="L38" s="220"/>
      <c r="M38" s="220"/>
      <c r="N38" s="220"/>
      <c r="O38" s="220"/>
      <c r="P38" s="220"/>
    </row>
    <row r="39" spans="2:16" x14ac:dyDescent="0.25">
      <c r="B39" s="220"/>
      <c r="C39" s="220"/>
      <c r="D39" s="220"/>
      <c r="E39" s="220"/>
      <c r="F39" s="220"/>
      <c r="G39" s="220"/>
      <c r="H39" s="220"/>
      <c r="I39" s="220"/>
      <c r="J39" s="220"/>
      <c r="K39" s="220"/>
      <c r="L39" s="220"/>
      <c r="M39" s="220"/>
      <c r="N39" s="220"/>
      <c r="O39" s="220"/>
      <c r="P39" s="220"/>
    </row>
    <row r="40" spans="2:16" x14ac:dyDescent="0.25">
      <c r="B40" s="220"/>
      <c r="C40" s="220"/>
      <c r="D40" s="220"/>
      <c r="E40" s="220"/>
      <c r="F40" s="220"/>
      <c r="G40" s="220"/>
      <c r="H40" s="220"/>
      <c r="I40" s="220"/>
      <c r="J40" s="220"/>
      <c r="K40" s="220"/>
      <c r="L40" s="220"/>
      <c r="M40" s="220"/>
      <c r="N40" s="220"/>
      <c r="O40" s="220"/>
      <c r="P40" s="220"/>
    </row>
    <row r="41" spans="2:16" x14ac:dyDescent="0.25">
      <c r="B41" s="220"/>
      <c r="C41" s="220"/>
      <c r="D41" s="220"/>
      <c r="E41" s="220"/>
      <c r="F41" s="220"/>
      <c r="G41" s="220"/>
      <c r="H41" s="220"/>
      <c r="I41" s="220"/>
      <c r="J41" s="220"/>
      <c r="K41" s="220"/>
      <c r="L41" s="220"/>
      <c r="M41" s="220"/>
      <c r="N41" s="220"/>
      <c r="O41" s="220"/>
      <c r="P41" s="220"/>
    </row>
    <row r="42" spans="2:16" x14ac:dyDescent="0.25">
      <c r="B42" s="220"/>
      <c r="C42" s="220"/>
      <c r="D42" s="220"/>
      <c r="E42" s="220"/>
      <c r="F42" s="220"/>
      <c r="G42" s="220"/>
      <c r="H42" s="220"/>
      <c r="I42" s="220"/>
      <c r="J42" s="220"/>
      <c r="K42" s="220"/>
      <c r="L42" s="220"/>
      <c r="M42" s="220"/>
      <c r="N42" s="220"/>
      <c r="O42" s="220"/>
      <c r="P42" s="220"/>
    </row>
    <row r="43" spans="2:16" x14ac:dyDescent="0.25">
      <c r="B43" s="220"/>
      <c r="C43" s="220"/>
      <c r="D43" s="220"/>
      <c r="E43" s="220"/>
      <c r="F43" s="220"/>
      <c r="G43" s="220"/>
      <c r="H43" s="220"/>
      <c r="I43" s="220"/>
      <c r="J43" s="220"/>
      <c r="K43" s="220"/>
      <c r="L43" s="220"/>
      <c r="M43" s="220"/>
      <c r="N43" s="220"/>
      <c r="O43" s="220"/>
      <c r="P43" s="220"/>
    </row>
    <row r="44" spans="2:16" x14ac:dyDescent="0.25">
      <c r="B44" s="220"/>
      <c r="C44" s="220"/>
      <c r="D44" s="220"/>
      <c r="E44" s="220"/>
      <c r="F44" s="220"/>
      <c r="G44" s="220"/>
      <c r="H44" s="220"/>
      <c r="I44" s="220"/>
      <c r="J44" s="220"/>
      <c r="K44" s="220"/>
      <c r="L44" s="220"/>
      <c r="M44" s="220"/>
      <c r="N44" s="220"/>
      <c r="O44" s="220"/>
      <c r="P44" s="220"/>
    </row>
    <row r="45" spans="2:16" x14ac:dyDescent="0.25">
      <c r="B45" s="220"/>
      <c r="C45" s="220"/>
      <c r="D45" s="220"/>
      <c r="E45" s="220"/>
      <c r="F45" s="220"/>
      <c r="G45" s="220"/>
      <c r="H45" s="220"/>
      <c r="I45" s="220"/>
      <c r="J45" s="220"/>
      <c r="K45" s="220"/>
      <c r="L45" s="220"/>
      <c r="M45" s="220"/>
      <c r="N45" s="220"/>
      <c r="O45" s="220"/>
      <c r="P45" s="220"/>
    </row>
    <row r="46" spans="2:16" x14ac:dyDescent="0.25">
      <c r="B46" s="220"/>
      <c r="C46" s="220"/>
      <c r="D46" s="220"/>
      <c r="E46" s="220"/>
      <c r="F46" s="220"/>
      <c r="G46" s="220"/>
      <c r="H46" s="220"/>
      <c r="I46" s="220"/>
      <c r="J46" s="220"/>
      <c r="K46" s="220"/>
      <c r="L46" s="220"/>
      <c r="M46" s="220"/>
      <c r="N46" s="220"/>
      <c r="O46" s="220"/>
      <c r="P46" s="220"/>
    </row>
    <row r="47" spans="2:16" x14ac:dyDescent="0.25">
      <c r="B47" s="220"/>
      <c r="C47" s="220"/>
      <c r="D47" s="220"/>
      <c r="E47" s="220"/>
      <c r="F47" s="220"/>
      <c r="G47" s="220"/>
      <c r="H47" s="220"/>
      <c r="I47" s="220"/>
      <c r="J47" s="220"/>
      <c r="K47" s="220"/>
      <c r="L47" s="220"/>
      <c r="M47" s="220"/>
      <c r="N47" s="220"/>
      <c r="O47" s="220"/>
      <c r="P47" s="220"/>
    </row>
    <row r="48" spans="2:16" x14ac:dyDescent="0.25">
      <c r="B48" s="220"/>
      <c r="C48" s="220"/>
      <c r="D48" s="220"/>
      <c r="E48" s="220"/>
      <c r="F48" s="220"/>
      <c r="G48" s="220"/>
      <c r="H48" s="220"/>
      <c r="I48" s="220"/>
      <c r="J48" s="220"/>
      <c r="K48" s="220"/>
      <c r="L48" s="220"/>
      <c r="M48" s="220"/>
      <c r="N48" s="220"/>
      <c r="O48" s="220"/>
      <c r="P48" s="220"/>
    </row>
    <row r="49" spans="2:16" x14ac:dyDescent="0.25">
      <c r="B49" s="220"/>
      <c r="C49" s="220"/>
      <c r="D49" s="220"/>
      <c r="E49" s="220"/>
      <c r="F49" s="220"/>
      <c r="G49" s="220"/>
      <c r="H49" s="220"/>
      <c r="I49" s="220"/>
      <c r="J49" s="220"/>
      <c r="K49" s="220"/>
      <c r="L49" s="220"/>
      <c r="M49" s="220"/>
      <c r="N49" s="220"/>
      <c r="O49" s="220"/>
      <c r="P49" s="220"/>
    </row>
    <row r="50" spans="2:16" x14ac:dyDescent="0.25">
      <c r="B50" s="220"/>
      <c r="C50" s="220"/>
      <c r="D50" s="220"/>
      <c r="E50" s="220"/>
      <c r="F50" s="220"/>
      <c r="G50" s="220"/>
      <c r="H50" s="220"/>
      <c r="I50" s="220"/>
      <c r="J50" s="220"/>
      <c r="K50" s="220"/>
      <c r="L50" s="220"/>
      <c r="M50" s="220"/>
      <c r="N50" s="220"/>
      <c r="O50" s="220"/>
      <c r="P50" s="220"/>
    </row>
    <row r="51" spans="2:16" x14ac:dyDescent="0.25">
      <c r="B51" s="220"/>
      <c r="C51" s="220"/>
      <c r="D51" s="220"/>
      <c r="E51" s="220"/>
      <c r="F51" s="220"/>
      <c r="G51" s="220"/>
      <c r="H51" s="220"/>
      <c r="I51" s="220"/>
      <c r="J51" s="220"/>
      <c r="K51" s="220"/>
      <c r="L51" s="220"/>
      <c r="M51" s="220"/>
      <c r="N51" s="220"/>
      <c r="O51" s="220"/>
      <c r="P51" s="220"/>
    </row>
    <row r="52" spans="2:16" x14ac:dyDescent="0.25">
      <c r="B52" s="220"/>
      <c r="C52" s="220"/>
      <c r="D52" s="220"/>
      <c r="E52" s="220"/>
      <c r="F52" s="220"/>
      <c r="G52" s="220"/>
      <c r="H52" s="220"/>
      <c r="I52" s="220"/>
      <c r="J52" s="220"/>
      <c r="K52" s="220"/>
      <c r="L52" s="220"/>
      <c r="M52" s="220"/>
      <c r="N52" s="220"/>
      <c r="O52" s="220"/>
      <c r="P52" s="220"/>
    </row>
    <row r="53" spans="2:16" x14ac:dyDescent="0.25">
      <c r="B53" s="220"/>
      <c r="C53" s="220"/>
      <c r="D53" s="220"/>
      <c r="E53" s="220"/>
      <c r="F53" s="220"/>
      <c r="G53" s="220"/>
      <c r="H53" s="220"/>
      <c r="I53" s="220"/>
      <c r="J53" s="220"/>
      <c r="K53" s="220"/>
      <c r="L53" s="220"/>
      <c r="M53" s="220"/>
      <c r="N53" s="220"/>
      <c r="O53" s="220"/>
      <c r="P53" s="220"/>
    </row>
    <row r="54" spans="2:16" x14ac:dyDescent="0.25">
      <c r="B54" s="220"/>
      <c r="C54" s="220"/>
      <c r="D54" s="220"/>
      <c r="E54" s="220"/>
      <c r="F54" s="220"/>
      <c r="G54" s="220"/>
      <c r="H54" s="220"/>
      <c r="I54" s="220"/>
      <c r="J54" s="220"/>
      <c r="K54" s="220"/>
      <c r="L54" s="220"/>
      <c r="M54" s="220"/>
      <c r="N54" s="220"/>
      <c r="O54" s="220"/>
      <c r="P54" s="220"/>
    </row>
    <row r="56" spans="2:16" x14ac:dyDescent="0.25">
      <c r="B56" s="222" t="s">
        <v>239</v>
      </c>
      <c r="C56" s="222"/>
      <c r="D56" s="222"/>
      <c r="E56" s="222"/>
      <c r="F56" s="222"/>
      <c r="G56" s="222"/>
      <c r="H56" s="222"/>
      <c r="I56" s="222"/>
      <c r="J56" s="222"/>
      <c r="K56" s="222"/>
      <c r="L56" s="222"/>
      <c r="M56" s="222"/>
      <c r="N56" s="222"/>
      <c r="O56" s="222"/>
      <c r="P56" s="222"/>
    </row>
    <row r="57" spans="2:16" x14ac:dyDescent="0.25">
      <c r="B57" s="222"/>
      <c r="C57" s="222"/>
      <c r="D57" s="222"/>
      <c r="E57" s="222"/>
      <c r="F57" s="222"/>
      <c r="G57" s="222"/>
      <c r="H57" s="222"/>
      <c r="I57" s="222"/>
      <c r="J57" s="222"/>
      <c r="K57" s="222"/>
      <c r="L57" s="222"/>
      <c r="M57" s="222"/>
      <c r="N57" s="222"/>
      <c r="O57" s="222"/>
      <c r="P57" s="222"/>
    </row>
    <row r="58" spans="2:16" ht="15" customHeight="1" x14ac:dyDescent="0.25">
      <c r="B58" s="223" t="s">
        <v>320</v>
      </c>
      <c r="C58" s="223"/>
      <c r="D58" s="223"/>
      <c r="E58" s="223"/>
      <c r="F58" s="223"/>
      <c r="G58" s="223"/>
      <c r="H58" s="223"/>
      <c r="I58" s="223"/>
      <c r="J58" s="223"/>
      <c r="K58" s="223"/>
      <c r="L58" s="223"/>
      <c r="M58" s="223"/>
      <c r="N58" s="223"/>
      <c r="O58" s="223"/>
      <c r="P58" s="223"/>
    </row>
    <row r="59" spans="2:16" x14ac:dyDescent="0.25">
      <c r="B59" s="223"/>
      <c r="C59" s="223"/>
      <c r="D59" s="223"/>
      <c r="E59" s="223"/>
      <c r="F59" s="223"/>
      <c r="G59" s="223"/>
      <c r="H59" s="223"/>
      <c r="I59" s="223"/>
      <c r="J59" s="223"/>
      <c r="K59" s="223"/>
      <c r="L59" s="223"/>
      <c r="M59" s="223"/>
      <c r="N59" s="223"/>
      <c r="O59" s="223"/>
      <c r="P59" s="223"/>
    </row>
    <row r="60" spans="2:16" x14ac:dyDescent="0.25">
      <c r="B60" s="223"/>
      <c r="C60" s="223"/>
      <c r="D60" s="223"/>
      <c r="E60" s="223"/>
      <c r="F60" s="223"/>
      <c r="G60" s="223"/>
      <c r="H60" s="223"/>
      <c r="I60" s="223"/>
      <c r="J60" s="223"/>
      <c r="K60" s="223"/>
      <c r="L60" s="223"/>
      <c r="M60" s="223"/>
      <c r="N60" s="223"/>
      <c r="O60" s="223"/>
      <c r="P60" s="223"/>
    </row>
    <row r="61" spans="2:16" x14ac:dyDescent="0.25">
      <c r="B61" s="223"/>
      <c r="C61" s="223"/>
      <c r="D61" s="223"/>
      <c r="E61" s="223"/>
      <c r="F61" s="223"/>
      <c r="G61" s="223"/>
      <c r="H61" s="223"/>
      <c r="I61" s="223"/>
      <c r="J61" s="223"/>
      <c r="K61" s="223"/>
      <c r="L61" s="223"/>
      <c r="M61" s="223"/>
      <c r="N61" s="223"/>
      <c r="O61" s="223"/>
      <c r="P61" s="223"/>
    </row>
    <row r="62" spans="2:16" x14ac:dyDescent="0.25">
      <c r="B62" s="223"/>
      <c r="C62" s="223"/>
      <c r="D62" s="223"/>
      <c r="E62" s="223"/>
      <c r="F62" s="223"/>
      <c r="G62" s="223"/>
      <c r="H62" s="223"/>
      <c r="I62" s="223"/>
      <c r="J62" s="223"/>
      <c r="K62" s="223"/>
      <c r="L62" s="223"/>
      <c r="M62" s="223"/>
      <c r="N62" s="223"/>
      <c r="O62" s="223"/>
      <c r="P62" s="223"/>
    </row>
    <row r="63" spans="2:16" x14ac:dyDescent="0.25">
      <c r="B63" s="223"/>
      <c r="C63" s="223"/>
      <c r="D63" s="223"/>
      <c r="E63" s="223"/>
      <c r="F63" s="223"/>
      <c r="G63" s="223"/>
      <c r="H63" s="223"/>
      <c r="I63" s="223"/>
      <c r="J63" s="223"/>
      <c r="K63" s="223"/>
      <c r="L63" s="223"/>
      <c r="M63" s="223"/>
      <c r="N63" s="223"/>
      <c r="O63" s="223"/>
      <c r="P63" s="223"/>
    </row>
    <row r="64" spans="2:16" x14ac:dyDescent="0.25">
      <c r="B64" s="223"/>
      <c r="C64" s="223"/>
      <c r="D64" s="223"/>
      <c r="E64" s="223"/>
      <c r="F64" s="223"/>
      <c r="G64" s="223"/>
      <c r="H64" s="223"/>
      <c r="I64" s="223"/>
      <c r="J64" s="223"/>
      <c r="K64" s="223"/>
      <c r="L64" s="223"/>
      <c r="M64" s="223"/>
      <c r="N64" s="223"/>
      <c r="O64" s="223"/>
      <c r="P64" s="223"/>
    </row>
    <row r="65" spans="2:16" x14ac:dyDescent="0.25">
      <c r="B65" s="223"/>
      <c r="C65" s="223"/>
      <c r="D65" s="223"/>
      <c r="E65" s="223"/>
      <c r="F65" s="223"/>
      <c r="G65" s="223"/>
      <c r="H65" s="223"/>
      <c r="I65" s="223"/>
      <c r="J65" s="223"/>
      <c r="K65" s="223"/>
      <c r="L65" s="223"/>
      <c r="M65" s="223"/>
      <c r="N65" s="223"/>
      <c r="O65" s="223"/>
      <c r="P65" s="223"/>
    </row>
    <row r="66" spans="2:16" x14ac:dyDescent="0.25">
      <c r="B66" s="223"/>
      <c r="C66" s="223"/>
      <c r="D66" s="223"/>
      <c r="E66" s="223"/>
      <c r="F66" s="223"/>
      <c r="G66" s="223"/>
      <c r="H66" s="223"/>
      <c r="I66" s="223"/>
      <c r="J66" s="223"/>
      <c r="K66" s="223"/>
      <c r="L66" s="223"/>
      <c r="M66" s="223"/>
      <c r="N66" s="223"/>
      <c r="O66" s="223"/>
      <c r="P66" s="223"/>
    </row>
    <row r="67" spans="2:16" x14ac:dyDescent="0.25">
      <c r="B67" s="223"/>
      <c r="C67" s="223"/>
      <c r="D67" s="223"/>
      <c r="E67" s="223"/>
      <c r="F67" s="223"/>
      <c r="G67" s="223"/>
      <c r="H67" s="223"/>
      <c r="I67" s="223"/>
      <c r="J67" s="223"/>
      <c r="K67" s="223"/>
      <c r="L67" s="223"/>
      <c r="M67" s="223"/>
      <c r="N67" s="223"/>
      <c r="O67" s="223"/>
      <c r="P67" s="223"/>
    </row>
    <row r="68" spans="2:16" x14ac:dyDescent="0.25">
      <c r="B68" s="223"/>
      <c r="C68" s="223"/>
      <c r="D68" s="223"/>
      <c r="E68" s="223"/>
      <c r="F68" s="223"/>
      <c r="G68" s="223"/>
      <c r="H68" s="223"/>
      <c r="I68" s="223"/>
      <c r="J68" s="223"/>
      <c r="K68" s="223"/>
      <c r="L68" s="223"/>
      <c r="M68" s="223"/>
      <c r="N68" s="223"/>
      <c r="O68" s="223"/>
      <c r="P68" s="223"/>
    </row>
    <row r="69" spans="2:16" x14ac:dyDescent="0.25">
      <c r="B69" s="223"/>
      <c r="C69" s="223"/>
      <c r="D69" s="223"/>
      <c r="E69" s="223"/>
      <c r="F69" s="223"/>
      <c r="G69" s="223"/>
      <c r="H69" s="223"/>
      <c r="I69" s="223"/>
      <c r="J69" s="223"/>
      <c r="K69" s="223"/>
      <c r="L69" s="223"/>
      <c r="M69" s="223"/>
      <c r="N69" s="223"/>
      <c r="O69" s="223"/>
      <c r="P69" s="223"/>
    </row>
    <row r="70" spans="2:16" x14ac:dyDescent="0.25">
      <c r="B70" s="223"/>
      <c r="C70" s="223"/>
      <c r="D70" s="223"/>
      <c r="E70" s="223"/>
      <c r="F70" s="223"/>
      <c r="G70" s="223"/>
      <c r="H70" s="223"/>
      <c r="I70" s="223"/>
      <c r="J70" s="223"/>
      <c r="K70" s="223"/>
      <c r="L70" s="223"/>
      <c r="M70" s="223"/>
      <c r="N70" s="223"/>
      <c r="O70" s="223"/>
      <c r="P70" s="223"/>
    </row>
    <row r="71" spans="2:16" x14ac:dyDescent="0.25">
      <c r="B71" s="223"/>
      <c r="C71" s="223"/>
      <c r="D71" s="223"/>
      <c r="E71" s="223"/>
      <c r="F71" s="223"/>
      <c r="G71" s="223"/>
      <c r="H71" s="223"/>
      <c r="I71" s="223"/>
      <c r="J71" s="223"/>
      <c r="K71" s="223"/>
      <c r="L71" s="223"/>
      <c r="M71" s="223"/>
      <c r="N71" s="223"/>
      <c r="O71" s="223"/>
      <c r="P71" s="223"/>
    </row>
    <row r="72" spans="2:16" x14ac:dyDescent="0.25">
      <c r="B72" s="223"/>
      <c r="C72" s="223"/>
      <c r="D72" s="223"/>
      <c r="E72" s="223"/>
      <c r="F72" s="223"/>
      <c r="G72" s="223"/>
      <c r="H72" s="223"/>
      <c r="I72" s="223"/>
      <c r="J72" s="223"/>
      <c r="K72" s="223"/>
      <c r="L72" s="223"/>
      <c r="M72" s="223"/>
      <c r="N72" s="223"/>
      <c r="O72" s="223"/>
      <c r="P72" s="223"/>
    </row>
    <row r="73" spans="2:16" x14ac:dyDescent="0.25">
      <c r="B73" s="223"/>
      <c r="C73" s="223"/>
      <c r="D73" s="223"/>
      <c r="E73" s="223"/>
      <c r="F73" s="223"/>
      <c r="G73" s="223"/>
      <c r="H73" s="223"/>
      <c r="I73" s="223"/>
      <c r="J73" s="223"/>
      <c r="K73" s="223"/>
      <c r="L73" s="223"/>
      <c r="M73" s="223"/>
      <c r="N73" s="223"/>
      <c r="O73" s="223"/>
      <c r="P73" s="223"/>
    </row>
    <row r="74" spans="2:16" x14ac:dyDescent="0.25">
      <c r="B74" s="223"/>
      <c r="C74" s="223"/>
      <c r="D74" s="223"/>
      <c r="E74" s="223"/>
      <c r="F74" s="223"/>
      <c r="G74" s="223"/>
      <c r="H74" s="223"/>
      <c r="I74" s="223"/>
      <c r="J74" s="223"/>
      <c r="K74" s="223"/>
      <c r="L74" s="223"/>
      <c r="M74" s="223"/>
      <c r="N74" s="223"/>
      <c r="O74" s="223"/>
      <c r="P74" s="223"/>
    </row>
    <row r="75" spans="2:16" x14ac:dyDescent="0.25">
      <c r="B75" s="223"/>
      <c r="C75" s="223"/>
      <c r="D75" s="223"/>
      <c r="E75" s="223"/>
      <c r="F75" s="223"/>
      <c r="G75" s="223"/>
      <c r="H75" s="223"/>
      <c r="I75" s="223"/>
      <c r="J75" s="223"/>
      <c r="K75" s="223"/>
      <c r="L75" s="223"/>
      <c r="M75" s="223"/>
      <c r="N75" s="223"/>
      <c r="O75" s="223"/>
      <c r="P75" s="223"/>
    </row>
    <row r="76" spans="2:16" x14ac:dyDescent="0.25">
      <c r="B76" s="223"/>
      <c r="C76" s="223"/>
      <c r="D76" s="223"/>
      <c r="E76" s="223"/>
      <c r="F76" s="223"/>
      <c r="G76" s="223"/>
      <c r="H76" s="223"/>
      <c r="I76" s="223"/>
      <c r="J76" s="223"/>
      <c r="K76" s="223"/>
      <c r="L76" s="223"/>
      <c r="M76" s="223"/>
      <c r="N76" s="223"/>
      <c r="O76" s="223"/>
      <c r="P76" s="223"/>
    </row>
    <row r="77" spans="2:16" x14ac:dyDescent="0.25">
      <c r="B77" s="223"/>
      <c r="C77" s="223"/>
      <c r="D77" s="223"/>
      <c r="E77" s="223"/>
      <c r="F77" s="223"/>
      <c r="G77" s="223"/>
      <c r="H77" s="223"/>
      <c r="I77" s="223"/>
      <c r="J77" s="223"/>
      <c r="K77" s="223"/>
      <c r="L77" s="223"/>
      <c r="M77" s="223"/>
      <c r="N77" s="223"/>
      <c r="O77" s="223"/>
      <c r="P77" s="223"/>
    </row>
    <row r="78" spans="2:16" x14ac:dyDescent="0.25">
      <c r="B78" s="223"/>
      <c r="C78" s="223"/>
      <c r="D78" s="223"/>
      <c r="E78" s="223"/>
      <c r="F78" s="223"/>
      <c r="G78" s="223"/>
      <c r="H78" s="223"/>
      <c r="I78" s="223"/>
      <c r="J78" s="223"/>
      <c r="K78" s="223"/>
      <c r="L78" s="223"/>
      <c r="M78" s="223"/>
      <c r="N78" s="223"/>
      <c r="O78" s="223"/>
      <c r="P78" s="223"/>
    </row>
    <row r="79" spans="2:16" x14ac:dyDescent="0.25">
      <c r="B79" s="223"/>
      <c r="C79" s="223"/>
      <c r="D79" s="223"/>
      <c r="E79" s="223"/>
      <c r="F79" s="223"/>
      <c r="G79" s="223"/>
      <c r="H79" s="223"/>
      <c r="I79" s="223"/>
      <c r="J79" s="223"/>
      <c r="K79" s="223"/>
      <c r="L79" s="223"/>
      <c r="M79" s="223"/>
      <c r="N79" s="223"/>
      <c r="O79" s="223"/>
      <c r="P79" s="223"/>
    </row>
    <row r="80" spans="2:16" x14ac:dyDescent="0.25">
      <c r="B80" s="223"/>
      <c r="C80" s="223"/>
      <c r="D80" s="223"/>
      <c r="E80" s="223"/>
      <c r="F80" s="223"/>
      <c r="G80" s="223"/>
      <c r="H80" s="223"/>
      <c r="I80" s="223"/>
      <c r="J80" s="223"/>
      <c r="K80" s="223"/>
      <c r="L80" s="223"/>
      <c r="M80" s="223"/>
      <c r="N80" s="223"/>
      <c r="O80" s="223"/>
      <c r="P80" s="223"/>
    </row>
    <row r="81" spans="2:16" x14ac:dyDescent="0.25">
      <c r="B81" s="223"/>
      <c r="C81" s="223"/>
      <c r="D81" s="223"/>
      <c r="E81" s="223"/>
      <c r="F81" s="223"/>
      <c r="G81" s="223"/>
      <c r="H81" s="223"/>
      <c r="I81" s="223"/>
      <c r="J81" s="223"/>
      <c r="K81" s="223"/>
      <c r="L81" s="223"/>
      <c r="M81" s="223"/>
      <c r="N81" s="223"/>
      <c r="O81" s="223"/>
      <c r="P81" s="223"/>
    </row>
    <row r="82" spans="2:16" x14ac:dyDescent="0.25">
      <c r="B82" s="223"/>
      <c r="C82" s="223"/>
      <c r="D82" s="223"/>
      <c r="E82" s="223"/>
      <c r="F82" s="223"/>
      <c r="G82" s="223"/>
      <c r="H82" s="223"/>
      <c r="I82" s="223"/>
      <c r="J82" s="223"/>
      <c r="K82" s="223"/>
      <c r="L82" s="223"/>
      <c r="M82" s="223"/>
      <c r="N82" s="223"/>
      <c r="O82" s="223"/>
      <c r="P82" s="223"/>
    </row>
    <row r="83" spans="2:16" x14ac:dyDescent="0.25">
      <c r="B83" s="223"/>
      <c r="C83" s="223"/>
      <c r="D83" s="223"/>
      <c r="E83" s="223"/>
      <c r="F83" s="223"/>
      <c r="G83" s="223"/>
      <c r="H83" s="223"/>
      <c r="I83" s="223"/>
      <c r="J83" s="223"/>
      <c r="K83" s="223"/>
      <c r="L83" s="223"/>
      <c r="M83" s="223"/>
      <c r="N83" s="223"/>
      <c r="O83" s="223"/>
      <c r="P83" s="223"/>
    </row>
    <row r="84" spans="2:16" x14ac:dyDescent="0.25">
      <c r="B84" s="223"/>
      <c r="C84" s="223"/>
      <c r="D84" s="223"/>
      <c r="E84" s="223"/>
      <c r="F84" s="223"/>
      <c r="G84" s="223"/>
      <c r="H84" s="223"/>
      <c r="I84" s="223"/>
      <c r="J84" s="223"/>
      <c r="K84" s="223"/>
      <c r="L84" s="223"/>
      <c r="M84" s="223"/>
      <c r="N84" s="223"/>
      <c r="O84" s="223"/>
      <c r="P84" s="223"/>
    </row>
    <row r="85" spans="2:16" x14ac:dyDescent="0.25">
      <c r="B85" s="223"/>
      <c r="C85" s="223"/>
      <c r="D85" s="223"/>
      <c r="E85" s="223"/>
      <c r="F85" s="223"/>
      <c r="G85" s="223"/>
      <c r="H85" s="223"/>
      <c r="I85" s="223"/>
      <c r="J85" s="223"/>
      <c r="K85" s="223"/>
      <c r="L85" s="223"/>
      <c r="M85" s="223"/>
      <c r="N85" s="223"/>
      <c r="O85" s="223"/>
      <c r="P85" s="223"/>
    </row>
    <row r="86" spans="2:16" x14ac:dyDescent="0.25">
      <c r="B86" s="223"/>
      <c r="C86" s="223"/>
      <c r="D86" s="223"/>
      <c r="E86" s="223"/>
      <c r="F86" s="223"/>
      <c r="G86" s="223"/>
      <c r="H86" s="223"/>
      <c r="I86" s="223"/>
      <c r="J86" s="223"/>
      <c r="K86" s="223"/>
      <c r="L86" s="223"/>
      <c r="M86" s="223"/>
      <c r="N86" s="223"/>
      <c r="O86" s="223"/>
      <c r="P86" s="223"/>
    </row>
    <row r="87" spans="2:16" x14ac:dyDescent="0.25">
      <c r="B87" s="223"/>
      <c r="C87" s="223"/>
      <c r="D87" s="223"/>
      <c r="E87" s="223"/>
      <c r="F87" s="223"/>
      <c r="G87" s="223"/>
      <c r="H87" s="223"/>
      <c r="I87" s="223"/>
      <c r="J87" s="223"/>
      <c r="K87" s="223"/>
      <c r="L87" s="223"/>
      <c r="M87" s="223"/>
      <c r="N87" s="223"/>
      <c r="O87" s="223"/>
      <c r="P87" s="223"/>
    </row>
    <row r="88" spans="2:16" x14ac:dyDescent="0.25">
      <c r="B88" s="223"/>
      <c r="C88" s="223"/>
      <c r="D88" s="223"/>
      <c r="E88" s="223"/>
      <c r="F88" s="223"/>
      <c r="G88" s="223"/>
      <c r="H88" s="223"/>
      <c r="I88" s="223"/>
      <c r="J88" s="223"/>
      <c r="K88" s="223"/>
      <c r="L88" s="223"/>
      <c r="M88" s="223"/>
      <c r="N88" s="223"/>
      <c r="O88" s="223"/>
      <c r="P88" s="223"/>
    </row>
    <row r="89" spans="2:16" x14ac:dyDescent="0.25">
      <c r="B89" s="223"/>
      <c r="C89" s="223"/>
      <c r="D89" s="223"/>
      <c r="E89" s="223"/>
      <c r="F89" s="223"/>
      <c r="G89" s="223"/>
      <c r="H89" s="223"/>
      <c r="I89" s="223"/>
      <c r="J89" s="223"/>
      <c r="K89" s="223"/>
      <c r="L89" s="223"/>
      <c r="M89" s="223"/>
      <c r="N89" s="223"/>
      <c r="O89" s="223"/>
      <c r="P89" s="223"/>
    </row>
    <row r="90" spans="2:16" x14ac:dyDescent="0.25">
      <c r="B90" s="223"/>
      <c r="C90" s="223"/>
      <c r="D90" s="223"/>
      <c r="E90" s="223"/>
      <c r="F90" s="223"/>
      <c r="G90" s="223"/>
      <c r="H90" s="223"/>
      <c r="I90" s="223"/>
      <c r="J90" s="223"/>
      <c r="K90" s="223"/>
      <c r="L90" s="223"/>
      <c r="M90" s="223"/>
      <c r="N90" s="223"/>
      <c r="O90" s="223"/>
      <c r="P90" s="223"/>
    </row>
    <row r="91" spans="2:16" x14ac:dyDescent="0.25">
      <c r="B91" s="223"/>
      <c r="C91" s="223"/>
      <c r="D91" s="223"/>
      <c r="E91" s="223"/>
      <c r="F91" s="223"/>
      <c r="G91" s="223"/>
      <c r="H91" s="223"/>
      <c r="I91" s="223"/>
      <c r="J91" s="223"/>
      <c r="K91" s="223"/>
      <c r="L91" s="223"/>
      <c r="M91" s="223"/>
      <c r="N91" s="223"/>
      <c r="O91" s="223"/>
      <c r="P91" s="223"/>
    </row>
    <row r="92" spans="2:16" x14ac:dyDescent="0.25">
      <c r="B92" s="223"/>
      <c r="C92" s="223"/>
      <c r="D92" s="223"/>
      <c r="E92" s="223"/>
      <c r="F92" s="223"/>
      <c r="G92" s="223"/>
      <c r="H92" s="223"/>
      <c r="I92" s="223"/>
      <c r="J92" s="223"/>
      <c r="K92" s="223"/>
      <c r="L92" s="223"/>
      <c r="M92" s="223"/>
      <c r="N92" s="223"/>
      <c r="O92" s="223"/>
      <c r="P92" s="223"/>
    </row>
    <row r="93" spans="2:16" x14ac:dyDescent="0.25">
      <c r="B93" s="223"/>
      <c r="C93" s="223"/>
      <c r="D93" s="223"/>
      <c r="E93" s="223"/>
      <c r="F93" s="223"/>
      <c r="G93" s="223"/>
      <c r="H93" s="223"/>
      <c r="I93" s="223"/>
      <c r="J93" s="223"/>
      <c r="K93" s="223"/>
      <c r="L93" s="223"/>
      <c r="M93" s="223"/>
      <c r="N93" s="223"/>
      <c r="O93" s="223"/>
      <c r="P93" s="223"/>
    </row>
    <row r="94" spans="2:16" x14ac:dyDescent="0.25">
      <c r="B94" s="223"/>
      <c r="C94" s="223"/>
      <c r="D94" s="223"/>
      <c r="E94" s="223"/>
      <c r="F94" s="223"/>
      <c r="G94" s="223"/>
      <c r="H94" s="223"/>
      <c r="I94" s="223"/>
      <c r="J94" s="223"/>
      <c r="K94" s="223"/>
      <c r="L94" s="223"/>
      <c r="M94" s="223"/>
      <c r="N94" s="223"/>
      <c r="O94" s="223"/>
      <c r="P94" s="223"/>
    </row>
    <row r="95" spans="2:16" x14ac:dyDescent="0.25">
      <c r="B95" s="223"/>
      <c r="C95" s="223"/>
      <c r="D95" s="223"/>
      <c r="E95" s="223"/>
      <c r="F95" s="223"/>
      <c r="G95" s="223"/>
      <c r="H95" s="223"/>
      <c r="I95" s="223"/>
      <c r="J95" s="223"/>
      <c r="K95" s="223"/>
      <c r="L95" s="223"/>
      <c r="M95" s="223"/>
      <c r="N95" s="223"/>
      <c r="O95" s="223"/>
      <c r="P95" s="223"/>
    </row>
    <row r="96" spans="2:16" x14ac:dyDescent="0.25">
      <c r="B96" s="223"/>
      <c r="C96" s="223"/>
      <c r="D96" s="223"/>
      <c r="E96" s="223"/>
      <c r="F96" s="223"/>
      <c r="G96" s="223"/>
      <c r="H96" s="223"/>
      <c r="I96" s="223"/>
      <c r="J96" s="223"/>
      <c r="K96" s="223"/>
      <c r="L96" s="223"/>
      <c r="M96" s="223"/>
      <c r="N96" s="223"/>
      <c r="O96" s="223"/>
      <c r="P96" s="223"/>
    </row>
    <row r="97" spans="2:16" x14ac:dyDescent="0.25">
      <c r="B97" s="223"/>
      <c r="C97" s="223"/>
      <c r="D97" s="223"/>
      <c r="E97" s="223"/>
      <c r="F97" s="223"/>
      <c r="G97" s="223"/>
      <c r="H97" s="223"/>
      <c r="I97" s="223"/>
      <c r="J97" s="223"/>
      <c r="K97" s="223"/>
      <c r="L97" s="223"/>
      <c r="M97" s="223"/>
      <c r="N97" s="223"/>
      <c r="O97" s="223"/>
      <c r="P97" s="223"/>
    </row>
    <row r="98" spans="2:16" x14ac:dyDescent="0.25">
      <c r="B98" s="223"/>
      <c r="C98" s="223"/>
      <c r="D98" s="223"/>
      <c r="E98" s="223"/>
      <c r="F98" s="223"/>
      <c r="G98" s="223"/>
      <c r="H98" s="223"/>
      <c r="I98" s="223"/>
      <c r="J98" s="223"/>
      <c r="K98" s="223"/>
      <c r="L98" s="223"/>
      <c r="M98" s="223"/>
      <c r="N98" s="223"/>
      <c r="O98" s="223"/>
      <c r="P98" s="223"/>
    </row>
    <row r="99" spans="2:16" x14ac:dyDescent="0.25">
      <c r="B99" s="223"/>
      <c r="C99" s="223"/>
      <c r="D99" s="223"/>
      <c r="E99" s="223"/>
      <c r="F99" s="223"/>
      <c r="G99" s="223"/>
      <c r="H99" s="223"/>
      <c r="I99" s="223"/>
      <c r="J99" s="223"/>
      <c r="K99" s="223"/>
      <c r="L99" s="223"/>
      <c r="M99" s="223"/>
      <c r="N99" s="223"/>
      <c r="O99" s="223"/>
      <c r="P99" s="223"/>
    </row>
    <row r="100" spans="2:16" x14ac:dyDescent="0.25">
      <c r="B100" s="223"/>
      <c r="C100" s="223"/>
      <c r="D100" s="223"/>
      <c r="E100" s="223"/>
      <c r="F100" s="223"/>
      <c r="G100" s="223"/>
      <c r="H100" s="223"/>
      <c r="I100" s="223"/>
      <c r="J100" s="223"/>
      <c r="K100" s="223"/>
      <c r="L100" s="223"/>
      <c r="M100" s="223"/>
      <c r="N100" s="223"/>
      <c r="O100" s="223"/>
      <c r="P100" s="223"/>
    </row>
    <row r="101" spans="2:16" x14ac:dyDescent="0.25">
      <c r="B101" s="223"/>
      <c r="C101" s="223"/>
      <c r="D101" s="223"/>
      <c r="E101" s="223"/>
      <c r="F101" s="223"/>
      <c r="G101" s="223"/>
      <c r="H101" s="223"/>
      <c r="I101" s="223"/>
      <c r="J101" s="223"/>
      <c r="K101" s="223"/>
      <c r="L101" s="223"/>
      <c r="M101" s="223"/>
      <c r="N101" s="223"/>
      <c r="O101" s="223"/>
      <c r="P101" s="223"/>
    </row>
    <row r="102" spans="2:16" x14ac:dyDescent="0.25">
      <c r="B102" s="223"/>
      <c r="C102" s="223"/>
      <c r="D102" s="223"/>
      <c r="E102" s="223"/>
      <c r="F102" s="223"/>
      <c r="G102" s="223"/>
      <c r="H102" s="223"/>
      <c r="I102" s="223"/>
      <c r="J102" s="223"/>
      <c r="K102" s="223"/>
      <c r="L102" s="223"/>
      <c r="M102" s="223"/>
      <c r="N102" s="223"/>
      <c r="O102" s="223"/>
      <c r="P102" s="223"/>
    </row>
    <row r="103" spans="2:16" x14ac:dyDescent="0.25">
      <c r="B103" s="223"/>
      <c r="C103" s="223"/>
      <c r="D103" s="223"/>
      <c r="E103" s="223"/>
      <c r="F103" s="223"/>
      <c r="G103" s="223"/>
      <c r="H103" s="223"/>
      <c r="I103" s="223"/>
      <c r="J103" s="223"/>
      <c r="K103" s="223"/>
      <c r="L103" s="223"/>
      <c r="M103" s="223"/>
      <c r="N103" s="223"/>
      <c r="O103" s="223"/>
      <c r="P103" s="223"/>
    </row>
    <row r="104" spans="2:16" x14ac:dyDescent="0.25">
      <c r="B104" s="223"/>
      <c r="C104" s="223"/>
      <c r="D104" s="223"/>
      <c r="E104" s="223"/>
      <c r="F104" s="223"/>
      <c r="G104" s="223"/>
      <c r="H104" s="223"/>
      <c r="I104" s="223"/>
      <c r="J104" s="223"/>
      <c r="K104" s="223"/>
      <c r="L104" s="223"/>
      <c r="M104" s="223"/>
      <c r="N104" s="223"/>
      <c r="O104" s="223"/>
      <c r="P104" s="223"/>
    </row>
    <row r="105" spans="2:16" x14ac:dyDescent="0.25">
      <c r="B105" s="223"/>
      <c r="C105" s="223"/>
      <c r="D105" s="223"/>
      <c r="E105" s="223"/>
      <c r="F105" s="223"/>
      <c r="G105" s="223"/>
      <c r="H105" s="223"/>
      <c r="I105" s="223"/>
      <c r="J105" s="223"/>
      <c r="K105" s="223"/>
      <c r="L105" s="223"/>
      <c r="M105" s="223"/>
      <c r="N105" s="223"/>
      <c r="O105" s="223"/>
      <c r="P105" s="223"/>
    </row>
    <row r="106" spans="2:16" x14ac:dyDescent="0.25">
      <c r="B106" s="223"/>
      <c r="C106" s="223"/>
      <c r="D106" s="223"/>
      <c r="E106" s="223"/>
      <c r="F106" s="223"/>
      <c r="G106" s="223"/>
      <c r="H106" s="223"/>
      <c r="I106" s="223"/>
      <c r="J106" s="223"/>
      <c r="K106" s="223"/>
      <c r="L106" s="223"/>
      <c r="M106" s="223"/>
      <c r="N106" s="223"/>
      <c r="O106" s="223"/>
      <c r="P106" s="223"/>
    </row>
    <row r="107" spans="2:16" x14ac:dyDescent="0.25">
      <c r="B107" s="223"/>
      <c r="C107" s="223"/>
      <c r="D107" s="223"/>
      <c r="E107" s="223"/>
      <c r="F107" s="223"/>
      <c r="G107" s="223"/>
      <c r="H107" s="223"/>
      <c r="I107" s="223"/>
      <c r="J107" s="223"/>
      <c r="K107" s="223"/>
      <c r="L107" s="223"/>
      <c r="M107" s="223"/>
      <c r="N107" s="223"/>
      <c r="O107" s="223"/>
      <c r="P107" s="223"/>
    </row>
    <row r="108" spans="2:16" x14ac:dyDescent="0.25">
      <c r="B108" s="223"/>
      <c r="C108" s="223"/>
      <c r="D108" s="223"/>
      <c r="E108" s="223"/>
      <c r="F108" s="223"/>
      <c r="G108" s="223"/>
      <c r="H108" s="223"/>
      <c r="I108" s="223"/>
      <c r="J108" s="223"/>
      <c r="K108" s="223"/>
      <c r="L108" s="223"/>
      <c r="M108" s="223"/>
      <c r="N108" s="223"/>
      <c r="O108" s="223"/>
      <c r="P108" s="223"/>
    </row>
    <row r="109" spans="2:16" ht="15.75" customHeight="1" x14ac:dyDescent="0.25">
      <c r="B109" s="223"/>
      <c r="C109" s="223"/>
      <c r="D109" s="223"/>
      <c r="E109" s="223"/>
      <c r="F109" s="223"/>
      <c r="G109" s="223"/>
      <c r="H109" s="223"/>
      <c r="I109" s="223"/>
      <c r="J109" s="223"/>
      <c r="K109" s="223"/>
      <c r="L109" s="223"/>
      <c r="M109" s="223"/>
      <c r="N109" s="223"/>
      <c r="O109" s="223"/>
      <c r="P109" s="223"/>
    </row>
    <row r="111" spans="2:16" x14ac:dyDescent="0.25">
      <c r="B111" s="222" t="s">
        <v>240</v>
      </c>
      <c r="C111" s="222"/>
      <c r="D111" s="222"/>
      <c r="E111" s="222"/>
      <c r="F111" s="222"/>
      <c r="G111" s="222"/>
      <c r="H111" s="222"/>
      <c r="I111" s="222"/>
      <c r="J111" s="222"/>
      <c r="K111" s="222"/>
      <c r="L111" s="222"/>
      <c r="M111" s="222"/>
      <c r="N111" s="222"/>
      <c r="O111" s="222"/>
      <c r="P111" s="222"/>
    </row>
    <row r="112" spans="2:16" x14ac:dyDescent="0.25">
      <c r="B112" s="222"/>
      <c r="C112" s="222"/>
      <c r="D112" s="222"/>
      <c r="E112" s="222"/>
      <c r="F112" s="222"/>
      <c r="G112" s="222"/>
      <c r="H112" s="222"/>
      <c r="I112" s="222"/>
      <c r="J112" s="222"/>
      <c r="K112" s="222"/>
      <c r="L112" s="222"/>
      <c r="M112" s="222"/>
      <c r="N112" s="222"/>
      <c r="O112" s="222"/>
      <c r="P112" s="222"/>
    </row>
    <row r="113" spans="2:16" ht="15" customHeight="1" x14ac:dyDescent="0.25">
      <c r="B113" s="223" t="s">
        <v>322</v>
      </c>
      <c r="C113" s="223"/>
      <c r="D113" s="223"/>
      <c r="E113" s="223"/>
      <c r="F113" s="223"/>
      <c r="G113" s="223"/>
      <c r="H113" s="223"/>
      <c r="I113" s="223"/>
      <c r="J113" s="223"/>
      <c r="K113" s="223"/>
      <c r="L113" s="223"/>
      <c r="M113" s="223"/>
      <c r="N113" s="223"/>
      <c r="O113" s="223"/>
      <c r="P113" s="223"/>
    </row>
    <row r="114" spans="2:16" x14ac:dyDescent="0.25">
      <c r="B114" s="223"/>
      <c r="C114" s="223"/>
      <c r="D114" s="223"/>
      <c r="E114" s="223"/>
      <c r="F114" s="223"/>
      <c r="G114" s="223"/>
      <c r="H114" s="223"/>
      <c r="I114" s="223"/>
      <c r="J114" s="223"/>
      <c r="K114" s="223"/>
      <c r="L114" s="223"/>
      <c r="M114" s="223"/>
      <c r="N114" s="223"/>
      <c r="O114" s="223"/>
      <c r="P114" s="223"/>
    </row>
    <row r="115" spans="2:16" x14ac:dyDescent="0.25">
      <c r="B115" s="223"/>
      <c r="C115" s="223"/>
      <c r="D115" s="223"/>
      <c r="E115" s="223"/>
      <c r="F115" s="223"/>
      <c r="G115" s="223"/>
      <c r="H115" s="223"/>
      <c r="I115" s="223"/>
      <c r="J115" s="223"/>
      <c r="K115" s="223"/>
      <c r="L115" s="223"/>
      <c r="M115" s="223"/>
      <c r="N115" s="223"/>
      <c r="O115" s="223"/>
      <c r="P115" s="223"/>
    </row>
    <row r="116" spans="2:16" x14ac:dyDescent="0.25">
      <c r="B116" s="223"/>
      <c r="C116" s="223"/>
      <c r="D116" s="223"/>
      <c r="E116" s="223"/>
      <c r="F116" s="223"/>
      <c r="G116" s="223"/>
      <c r="H116" s="223"/>
      <c r="I116" s="223"/>
      <c r="J116" s="223"/>
      <c r="K116" s="223"/>
      <c r="L116" s="223"/>
      <c r="M116" s="223"/>
      <c r="N116" s="223"/>
      <c r="O116" s="223"/>
      <c r="P116" s="223"/>
    </row>
    <row r="117" spans="2:16" x14ac:dyDescent="0.25">
      <c r="B117" s="223"/>
      <c r="C117" s="223"/>
      <c r="D117" s="223"/>
      <c r="E117" s="223"/>
      <c r="F117" s="223"/>
      <c r="G117" s="223"/>
      <c r="H117" s="223"/>
      <c r="I117" s="223"/>
      <c r="J117" s="223"/>
      <c r="K117" s="223"/>
      <c r="L117" s="223"/>
      <c r="M117" s="223"/>
      <c r="N117" s="223"/>
      <c r="O117" s="223"/>
      <c r="P117" s="223"/>
    </row>
    <row r="118" spans="2:16" x14ac:dyDescent="0.25">
      <c r="B118" s="223"/>
      <c r="C118" s="223"/>
      <c r="D118" s="223"/>
      <c r="E118" s="223"/>
      <c r="F118" s="223"/>
      <c r="G118" s="223"/>
      <c r="H118" s="223"/>
      <c r="I118" s="223"/>
      <c r="J118" s="223"/>
      <c r="K118" s="223"/>
      <c r="L118" s="223"/>
      <c r="M118" s="223"/>
      <c r="N118" s="223"/>
      <c r="O118" s="223"/>
      <c r="P118" s="223"/>
    </row>
    <row r="119" spans="2:16" x14ac:dyDescent="0.25">
      <c r="B119" s="223"/>
      <c r="C119" s="223"/>
      <c r="D119" s="223"/>
      <c r="E119" s="223"/>
      <c r="F119" s="223"/>
      <c r="G119" s="223"/>
      <c r="H119" s="223"/>
      <c r="I119" s="223"/>
      <c r="J119" s="223"/>
      <c r="K119" s="223"/>
      <c r="L119" s="223"/>
      <c r="M119" s="223"/>
      <c r="N119" s="223"/>
      <c r="O119" s="223"/>
      <c r="P119" s="223"/>
    </row>
    <row r="120" spans="2:16" x14ac:dyDescent="0.25">
      <c r="B120" s="223"/>
      <c r="C120" s="223"/>
      <c r="D120" s="223"/>
      <c r="E120" s="223"/>
      <c r="F120" s="223"/>
      <c r="G120" s="223"/>
      <c r="H120" s="223"/>
      <c r="I120" s="223"/>
      <c r="J120" s="223"/>
      <c r="K120" s="223"/>
      <c r="L120" s="223"/>
      <c r="M120" s="223"/>
      <c r="N120" s="223"/>
      <c r="O120" s="223"/>
      <c r="P120" s="223"/>
    </row>
    <row r="121" spans="2:16" x14ac:dyDescent="0.25">
      <c r="B121" s="223"/>
      <c r="C121" s="223"/>
      <c r="D121" s="223"/>
      <c r="E121" s="223"/>
      <c r="F121" s="223"/>
      <c r="G121" s="223"/>
      <c r="H121" s="223"/>
      <c r="I121" s="223"/>
      <c r="J121" s="223"/>
      <c r="K121" s="223"/>
      <c r="L121" s="223"/>
      <c r="M121" s="223"/>
      <c r="N121" s="223"/>
      <c r="O121" s="223"/>
      <c r="P121" s="223"/>
    </row>
    <row r="122" spans="2:16" x14ac:dyDescent="0.25">
      <c r="B122" s="223"/>
      <c r="C122" s="223"/>
      <c r="D122" s="223"/>
      <c r="E122" s="223"/>
      <c r="F122" s="223"/>
      <c r="G122" s="223"/>
      <c r="H122" s="223"/>
      <c r="I122" s="223"/>
      <c r="J122" s="223"/>
      <c r="K122" s="223"/>
      <c r="L122" s="223"/>
      <c r="M122" s="223"/>
      <c r="N122" s="223"/>
      <c r="O122" s="223"/>
      <c r="P122" s="223"/>
    </row>
    <row r="123" spans="2:16" x14ac:dyDescent="0.25">
      <c r="B123" s="223"/>
      <c r="C123" s="223"/>
      <c r="D123" s="223"/>
      <c r="E123" s="223"/>
      <c r="F123" s="223"/>
      <c r="G123" s="223"/>
      <c r="H123" s="223"/>
      <c r="I123" s="223"/>
      <c r="J123" s="223"/>
      <c r="K123" s="223"/>
      <c r="L123" s="223"/>
      <c r="M123" s="223"/>
      <c r="N123" s="223"/>
      <c r="O123" s="223"/>
      <c r="P123" s="223"/>
    </row>
    <row r="124" spans="2:16" x14ac:dyDescent="0.25">
      <c r="B124" s="223"/>
      <c r="C124" s="223"/>
      <c r="D124" s="223"/>
      <c r="E124" s="223"/>
      <c r="F124" s="223"/>
      <c r="G124" s="223"/>
      <c r="H124" s="223"/>
      <c r="I124" s="223"/>
      <c r="J124" s="223"/>
      <c r="K124" s="223"/>
      <c r="L124" s="223"/>
      <c r="M124" s="223"/>
      <c r="N124" s="223"/>
      <c r="O124" s="223"/>
      <c r="P124" s="223"/>
    </row>
    <row r="125" spans="2:16" x14ac:dyDescent="0.25">
      <c r="B125" s="223"/>
      <c r="C125" s="223"/>
      <c r="D125" s="223"/>
      <c r="E125" s="223"/>
      <c r="F125" s="223"/>
      <c r="G125" s="223"/>
      <c r="H125" s="223"/>
      <c r="I125" s="223"/>
      <c r="J125" s="223"/>
      <c r="K125" s="223"/>
      <c r="L125" s="223"/>
      <c r="M125" s="223"/>
      <c r="N125" s="223"/>
      <c r="O125" s="223"/>
      <c r="P125" s="223"/>
    </row>
    <row r="126" spans="2:16" x14ac:dyDescent="0.25">
      <c r="B126" s="223"/>
      <c r="C126" s="223"/>
      <c r="D126" s="223"/>
      <c r="E126" s="223"/>
      <c r="F126" s="223"/>
      <c r="G126" s="223"/>
      <c r="H126" s="223"/>
      <c r="I126" s="223"/>
      <c r="J126" s="223"/>
      <c r="K126" s="223"/>
      <c r="L126" s="223"/>
      <c r="M126" s="223"/>
      <c r="N126" s="223"/>
      <c r="O126" s="223"/>
      <c r="P126" s="223"/>
    </row>
    <row r="127" spans="2:16" x14ac:dyDescent="0.25">
      <c r="B127" s="223"/>
      <c r="C127" s="223"/>
      <c r="D127" s="223"/>
      <c r="E127" s="223"/>
      <c r="F127" s="223"/>
      <c r="G127" s="223"/>
      <c r="H127" s="223"/>
      <c r="I127" s="223"/>
      <c r="J127" s="223"/>
      <c r="K127" s="223"/>
      <c r="L127" s="223"/>
      <c r="M127" s="223"/>
      <c r="N127" s="223"/>
      <c r="O127" s="223"/>
      <c r="P127" s="223"/>
    </row>
    <row r="128" spans="2:16" x14ac:dyDescent="0.25">
      <c r="B128" s="223"/>
      <c r="C128" s="223"/>
      <c r="D128" s="223"/>
      <c r="E128" s="223"/>
      <c r="F128" s="223"/>
      <c r="G128" s="223"/>
      <c r="H128" s="223"/>
      <c r="I128" s="223"/>
      <c r="J128" s="223"/>
      <c r="K128" s="223"/>
      <c r="L128" s="223"/>
      <c r="M128" s="223"/>
      <c r="N128" s="223"/>
      <c r="O128" s="223"/>
      <c r="P128" s="223"/>
    </row>
    <row r="129" spans="2:16" x14ac:dyDescent="0.25">
      <c r="B129" s="223"/>
      <c r="C129" s="223"/>
      <c r="D129" s="223"/>
      <c r="E129" s="223"/>
      <c r="F129" s="223"/>
      <c r="G129" s="223"/>
      <c r="H129" s="223"/>
      <c r="I129" s="223"/>
      <c r="J129" s="223"/>
      <c r="K129" s="223"/>
      <c r="L129" s="223"/>
      <c r="M129" s="223"/>
      <c r="N129" s="223"/>
      <c r="O129" s="223"/>
      <c r="P129" s="223"/>
    </row>
    <row r="130" spans="2:16" x14ac:dyDescent="0.25">
      <c r="B130" s="223"/>
      <c r="C130" s="223"/>
      <c r="D130" s="223"/>
      <c r="E130" s="223"/>
      <c r="F130" s="223"/>
      <c r="G130" s="223"/>
      <c r="H130" s="223"/>
      <c r="I130" s="223"/>
      <c r="J130" s="223"/>
      <c r="K130" s="223"/>
      <c r="L130" s="223"/>
      <c r="M130" s="223"/>
      <c r="N130" s="223"/>
      <c r="O130" s="223"/>
      <c r="P130" s="223"/>
    </row>
    <row r="131" spans="2:16" x14ac:dyDescent="0.25">
      <c r="B131" s="223"/>
      <c r="C131" s="223"/>
      <c r="D131" s="223"/>
      <c r="E131" s="223"/>
      <c r="F131" s="223"/>
      <c r="G131" s="223"/>
      <c r="H131" s="223"/>
      <c r="I131" s="223"/>
      <c r="J131" s="223"/>
      <c r="K131" s="223"/>
      <c r="L131" s="223"/>
      <c r="M131" s="223"/>
      <c r="N131" s="223"/>
      <c r="O131" s="223"/>
      <c r="P131" s="223"/>
    </row>
    <row r="132" spans="2:16" x14ac:dyDescent="0.25">
      <c r="B132" s="223"/>
      <c r="C132" s="223"/>
      <c r="D132" s="223"/>
      <c r="E132" s="223"/>
      <c r="F132" s="223"/>
      <c r="G132" s="223"/>
      <c r="H132" s="223"/>
      <c r="I132" s="223"/>
      <c r="J132" s="223"/>
      <c r="K132" s="223"/>
      <c r="L132" s="223"/>
      <c r="M132" s="223"/>
      <c r="N132" s="223"/>
      <c r="O132" s="223"/>
      <c r="P132" s="223"/>
    </row>
    <row r="133" spans="2:16" x14ac:dyDescent="0.25">
      <c r="B133" s="223"/>
      <c r="C133" s="223"/>
      <c r="D133" s="223"/>
      <c r="E133" s="223"/>
      <c r="F133" s="223"/>
      <c r="G133" s="223"/>
      <c r="H133" s="223"/>
      <c r="I133" s="223"/>
      <c r="J133" s="223"/>
      <c r="K133" s="223"/>
      <c r="L133" s="223"/>
      <c r="M133" s="223"/>
      <c r="N133" s="223"/>
      <c r="O133" s="223"/>
      <c r="P133" s="223"/>
    </row>
    <row r="134" spans="2:16" x14ac:dyDescent="0.25">
      <c r="B134" s="223"/>
      <c r="C134" s="223"/>
      <c r="D134" s="223"/>
      <c r="E134" s="223"/>
      <c r="F134" s="223"/>
      <c r="G134" s="223"/>
      <c r="H134" s="223"/>
      <c r="I134" s="223"/>
      <c r="J134" s="223"/>
      <c r="K134" s="223"/>
      <c r="L134" s="223"/>
      <c r="M134" s="223"/>
      <c r="N134" s="223"/>
      <c r="O134" s="223"/>
      <c r="P134" s="223"/>
    </row>
    <row r="135" spans="2:16" x14ac:dyDescent="0.25">
      <c r="B135" s="223"/>
      <c r="C135" s="223"/>
      <c r="D135" s="223"/>
      <c r="E135" s="223"/>
      <c r="F135" s="223"/>
      <c r="G135" s="223"/>
      <c r="H135" s="223"/>
      <c r="I135" s="223"/>
      <c r="J135" s="223"/>
      <c r="K135" s="223"/>
      <c r="L135" s="223"/>
      <c r="M135" s="223"/>
      <c r="N135" s="223"/>
      <c r="O135" s="223"/>
      <c r="P135" s="223"/>
    </row>
    <row r="136" spans="2:16" x14ac:dyDescent="0.25">
      <c r="B136" s="223"/>
      <c r="C136" s="223"/>
      <c r="D136" s="223"/>
      <c r="E136" s="223"/>
      <c r="F136" s="223"/>
      <c r="G136" s="223"/>
      <c r="H136" s="223"/>
      <c r="I136" s="223"/>
      <c r="J136" s="223"/>
      <c r="K136" s="223"/>
      <c r="L136" s="223"/>
      <c r="M136" s="223"/>
      <c r="N136" s="223"/>
      <c r="O136" s="223"/>
      <c r="P136" s="223"/>
    </row>
    <row r="137" spans="2:16" x14ac:dyDescent="0.25">
      <c r="B137" s="223"/>
      <c r="C137" s="223"/>
      <c r="D137" s="223"/>
      <c r="E137" s="223"/>
      <c r="F137" s="223"/>
      <c r="G137" s="223"/>
      <c r="H137" s="223"/>
      <c r="I137" s="223"/>
      <c r="J137" s="223"/>
      <c r="K137" s="223"/>
      <c r="L137" s="223"/>
      <c r="M137" s="223"/>
      <c r="N137" s="223"/>
      <c r="O137" s="223"/>
      <c r="P137" s="223"/>
    </row>
    <row r="138" spans="2:16" x14ac:dyDescent="0.25">
      <c r="B138" s="223"/>
      <c r="C138" s="223"/>
      <c r="D138" s="223"/>
      <c r="E138" s="223"/>
      <c r="F138" s="223"/>
      <c r="G138" s="223"/>
      <c r="H138" s="223"/>
      <c r="I138" s="223"/>
      <c r="J138" s="223"/>
      <c r="K138" s="223"/>
      <c r="L138" s="223"/>
      <c r="M138" s="223"/>
      <c r="N138" s="223"/>
      <c r="O138" s="223"/>
      <c r="P138" s="223"/>
    </row>
    <row r="139" spans="2:16" x14ac:dyDescent="0.25">
      <c r="B139" s="223"/>
      <c r="C139" s="223"/>
      <c r="D139" s="223"/>
      <c r="E139" s="223"/>
      <c r="F139" s="223"/>
      <c r="G139" s="223"/>
      <c r="H139" s="223"/>
      <c r="I139" s="223"/>
      <c r="J139" s="223"/>
      <c r="K139" s="223"/>
      <c r="L139" s="223"/>
      <c r="M139" s="223"/>
      <c r="N139" s="223"/>
      <c r="O139" s="223"/>
      <c r="P139" s="223"/>
    </row>
    <row r="140" spans="2:16" x14ac:dyDescent="0.25">
      <c r="B140" s="223"/>
      <c r="C140" s="223"/>
      <c r="D140" s="223"/>
      <c r="E140" s="223"/>
      <c r="F140" s="223"/>
      <c r="G140" s="223"/>
      <c r="H140" s="223"/>
      <c r="I140" s="223"/>
      <c r="J140" s="223"/>
      <c r="K140" s="223"/>
      <c r="L140" s="223"/>
      <c r="M140" s="223"/>
      <c r="N140" s="223"/>
      <c r="O140" s="223"/>
      <c r="P140" s="223"/>
    </row>
    <row r="141" spans="2:16" x14ac:dyDescent="0.25">
      <c r="B141" s="223"/>
      <c r="C141" s="223"/>
      <c r="D141" s="223"/>
      <c r="E141" s="223"/>
      <c r="F141" s="223"/>
      <c r="G141" s="223"/>
      <c r="H141" s="223"/>
      <c r="I141" s="223"/>
      <c r="J141" s="223"/>
      <c r="K141" s="223"/>
      <c r="L141" s="223"/>
      <c r="M141" s="223"/>
      <c r="N141" s="223"/>
      <c r="O141" s="223"/>
      <c r="P141" s="223"/>
    </row>
    <row r="142" spans="2:16" x14ac:dyDescent="0.25">
      <c r="B142" s="223"/>
      <c r="C142" s="223"/>
      <c r="D142" s="223"/>
      <c r="E142" s="223"/>
      <c r="F142" s="223"/>
      <c r="G142" s="223"/>
      <c r="H142" s="223"/>
      <c r="I142" s="223"/>
      <c r="J142" s="223"/>
      <c r="K142" s="223"/>
      <c r="L142" s="223"/>
      <c r="M142" s="223"/>
      <c r="N142" s="223"/>
      <c r="O142" s="223"/>
      <c r="P142" s="223"/>
    </row>
    <row r="143" spans="2:16" x14ac:dyDescent="0.25">
      <c r="B143" s="223"/>
      <c r="C143" s="223"/>
      <c r="D143" s="223"/>
      <c r="E143" s="223"/>
      <c r="F143" s="223"/>
      <c r="G143" s="223"/>
      <c r="H143" s="223"/>
      <c r="I143" s="223"/>
      <c r="J143" s="223"/>
      <c r="K143" s="223"/>
      <c r="L143" s="223"/>
      <c r="M143" s="223"/>
      <c r="N143" s="223"/>
      <c r="O143" s="223"/>
      <c r="P143" s="223"/>
    </row>
    <row r="144" spans="2:16" x14ac:dyDescent="0.25">
      <c r="B144" s="223"/>
      <c r="C144" s="223"/>
      <c r="D144" s="223"/>
      <c r="E144" s="223"/>
      <c r="F144" s="223"/>
      <c r="G144" s="223"/>
      <c r="H144" s="223"/>
      <c r="I144" s="223"/>
      <c r="J144" s="223"/>
      <c r="K144" s="223"/>
      <c r="L144" s="223"/>
      <c r="M144" s="223"/>
      <c r="N144" s="223"/>
      <c r="O144" s="223"/>
      <c r="P144" s="223"/>
    </row>
    <row r="145" spans="2:16" x14ac:dyDescent="0.25">
      <c r="B145" s="223"/>
      <c r="C145" s="223"/>
      <c r="D145" s="223"/>
      <c r="E145" s="223"/>
      <c r="F145" s="223"/>
      <c r="G145" s="223"/>
      <c r="H145" s="223"/>
      <c r="I145" s="223"/>
      <c r="J145" s="223"/>
      <c r="K145" s="223"/>
      <c r="L145" s="223"/>
      <c r="M145" s="223"/>
      <c r="N145" s="223"/>
      <c r="O145" s="223"/>
      <c r="P145" s="223"/>
    </row>
    <row r="146" spans="2:16" x14ac:dyDescent="0.25">
      <c r="B146" s="223"/>
      <c r="C146" s="223"/>
      <c r="D146" s="223"/>
      <c r="E146" s="223"/>
      <c r="F146" s="223"/>
      <c r="G146" s="223"/>
      <c r="H146" s="223"/>
      <c r="I146" s="223"/>
      <c r="J146" s="223"/>
      <c r="K146" s="223"/>
      <c r="L146" s="223"/>
      <c r="M146" s="223"/>
      <c r="N146" s="223"/>
      <c r="O146" s="223"/>
      <c r="P146" s="223"/>
    </row>
    <row r="147" spans="2:16" x14ac:dyDescent="0.25">
      <c r="B147" s="223"/>
      <c r="C147" s="223"/>
      <c r="D147" s="223"/>
      <c r="E147" s="223"/>
      <c r="F147" s="223"/>
      <c r="G147" s="223"/>
      <c r="H147" s="223"/>
      <c r="I147" s="223"/>
      <c r="J147" s="223"/>
      <c r="K147" s="223"/>
      <c r="L147" s="223"/>
      <c r="M147" s="223"/>
      <c r="N147" s="223"/>
      <c r="O147" s="223"/>
      <c r="P147" s="223"/>
    </row>
    <row r="148" spans="2:16" x14ac:dyDescent="0.25">
      <c r="B148" s="223"/>
      <c r="C148" s="223"/>
      <c r="D148" s="223"/>
      <c r="E148" s="223"/>
      <c r="F148" s="223"/>
      <c r="G148" s="223"/>
      <c r="H148" s="223"/>
      <c r="I148" s="223"/>
      <c r="J148" s="223"/>
      <c r="K148" s="223"/>
      <c r="L148" s="223"/>
      <c r="M148" s="223"/>
      <c r="N148" s="223"/>
      <c r="O148" s="223"/>
      <c r="P148" s="223"/>
    </row>
    <row r="149" spans="2:16" x14ac:dyDescent="0.25">
      <c r="B149" s="223"/>
      <c r="C149" s="223"/>
      <c r="D149" s="223"/>
      <c r="E149" s="223"/>
      <c r="F149" s="223"/>
      <c r="G149" s="223"/>
      <c r="H149" s="223"/>
      <c r="I149" s="223"/>
      <c r="J149" s="223"/>
      <c r="K149" s="223"/>
      <c r="L149" s="223"/>
      <c r="M149" s="223"/>
      <c r="N149" s="223"/>
      <c r="O149" s="223"/>
      <c r="P149" s="223"/>
    </row>
    <row r="150" spans="2:16" x14ac:dyDescent="0.25">
      <c r="B150" s="223"/>
      <c r="C150" s="223"/>
      <c r="D150" s="223"/>
      <c r="E150" s="223"/>
      <c r="F150" s="223"/>
      <c r="G150" s="223"/>
      <c r="H150" s="223"/>
      <c r="I150" s="223"/>
      <c r="J150" s="223"/>
      <c r="K150" s="223"/>
      <c r="L150" s="223"/>
      <c r="M150" s="223"/>
      <c r="N150" s="223"/>
      <c r="O150" s="223"/>
      <c r="P150" s="223"/>
    </row>
    <row r="151" spans="2:16" x14ac:dyDescent="0.25">
      <c r="B151" s="223"/>
      <c r="C151" s="223"/>
      <c r="D151" s="223"/>
      <c r="E151" s="223"/>
      <c r="F151" s="223"/>
      <c r="G151" s="223"/>
      <c r="H151" s="223"/>
      <c r="I151" s="223"/>
      <c r="J151" s="223"/>
      <c r="K151" s="223"/>
      <c r="L151" s="223"/>
      <c r="M151" s="223"/>
      <c r="N151" s="223"/>
      <c r="O151" s="223"/>
      <c r="P151" s="223"/>
    </row>
    <row r="152" spans="2:16" x14ac:dyDescent="0.25">
      <c r="B152" s="223"/>
      <c r="C152" s="223"/>
      <c r="D152" s="223"/>
      <c r="E152" s="223"/>
      <c r="F152" s="223"/>
      <c r="G152" s="223"/>
      <c r="H152" s="223"/>
      <c r="I152" s="223"/>
      <c r="J152" s="223"/>
      <c r="K152" s="223"/>
      <c r="L152" s="223"/>
      <c r="M152" s="223"/>
      <c r="N152" s="223"/>
      <c r="O152" s="223"/>
      <c r="P152" s="223"/>
    </row>
    <row r="153" spans="2:16" x14ac:dyDescent="0.25">
      <c r="B153" s="223"/>
      <c r="C153" s="223"/>
      <c r="D153" s="223"/>
      <c r="E153" s="223"/>
      <c r="F153" s="223"/>
      <c r="G153" s="223"/>
      <c r="H153" s="223"/>
      <c r="I153" s="223"/>
      <c r="J153" s="223"/>
      <c r="K153" s="223"/>
      <c r="L153" s="223"/>
      <c r="M153" s="223"/>
      <c r="N153" s="223"/>
      <c r="O153" s="223"/>
      <c r="P153" s="223"/>
    </row>
    <row r="154" spans="2:16" x14ac:dyDescent="0.25">
      <c r="B154" s="223"/>
      <c r="C154" s="223"/>
      <c r="D154" s="223"/>
      <c r="E154" s="223"/>
      <c r="F154" s="223"/>
      <c r="G154" s="223"/>
      <c r="H154" s="223"/>
      <c r="I154" s="223"/>
      <c r="J154" s="223"/>
      <c r="K154" s="223"/>
      <c r="L154" s="223"/>
      <c r="M154" s="223"/>
      <c r="N154" s="223"/>
      <c r="O154" s="223"/>
      <c r="P154" s="223"/>
    </row>
    <row r="155" spans="2:16" x14ac:dyDescent="0.25">
      <c r="B155" s="223"/>
      <c r="C155" s="223"/>
      <c r="D155" s="223"/>
      <c r="E155" s="223"/>
      <c r="F155" s="223"/>
      <c r="G155" s="223"/>
      <c r="H155" s="223"/>
      <c r="I155" s="223"/>
      <c r="J155" s="223"/>
      <c r="K155" s="223"/>
      <c r="L155" s="223"/>
      <c r="M155" s="223"/>
      <c r="N155" s="223"/>
      <c r="O155" s="223"/>
      <c r="P155" s="223"/>
    </row>
    <row r="156" spans="2:16" x14ac:dyDescent="0.25">
      <c r="B156" s="223"/>
      <c r="C156" s="223"/>
      <c r="D156" s="223"/>
      <c r="E156" s="223"/>
      <c r="F156" s="223"/>
      <c r="G156" s="223"/>
      <c r="H156" s="223"/>
      <c r="I156" s="223"/>
      <c r="J156" s="223"/>
      <c r="K156" s="223"/>
      <c r="L156" s="223"/>
      <c r="M156" s="223"/>
      <c r="N156" s="223"/>
      <c r="O156" s="223"/>
      <c r="P156" s="223"/>
    </row>
    <row r="157" spans="2:16" x14ac:dyDescent="0.25">
      <c r="B157" s="223"/>
      <c r="C157" s="223"/>
      <c r="D157" s="223"/>
      <c r="E157" s="223"/>
      <c r="F157" s="223"/>
      <c r="G157" s="223"/>
      <c r="H157" s="223"/>
      <c r="I157" s="223"/>
      <c r="J157" s="223"/>
      <c r="K157" s="223"/>
      <c r="L157" s="223"/>
      <c r="M157" s="223"/>
      <c r="N157" s="223"/>
      <c r="O157" s="223"/>
      <c r="P157" s="223"/>
    </row>
    <row r="158" spans="2:16" x14ac:dyDescent="0.25">
      <c r="B158" s="223"/>
      <c r="C158" s="223"/>
      <c r="D158" s="223"/>
      <c r="E158" s="223"/>
      <c r="F158" s="223"/>
      <c r="G158" s="223"/>
      <c r="H158" s="223"/>
      <c r="I158" s="223"/>
      <c r="J158" s="223"/>
      <c r="K158" s="223"/>
      <c r="L158" s="223"/>
      <c r="M158" s="223"/>
      <c r="N158" s="223"/>
      <c r="O158" s="223"/>
      <c r="P158" s="223"/>
    </row>
    <row r="159" spans="2:16" x14ac:dyDescent="0.25">
      <c r="B159" s="223"/>
      <c r="C159" s="223"/>
      <c r="D159" s="223"/>
      <c r="E159" s="223"/>
      <c r="F159" s="223"/>
      <c r="G159" s="223"/>
      <c r="H159" s="223"/>
      <c r="I159" s="223"/>
      <c r="J159" s="223"/>
      <c r="K159" s="223"/>
      <c r="L159" s="223"/>
      <c r="M159" s="223"/>
      <c r="N159" s="223"/>
      <c r="O159" s="223"/>
      <c r="P159" s="223"/>
    </row>
    <row r="160" spans="2:16" x14ac:dyDescent="0.25">
      <c r="B160" s="223"/>
      <c r="C160" s="223"/>
      <c r="D160" s="223"/>
      <c r="E160" s="223"/>
      <c r="F160" s="223"/>
      <c r="G160" s="223"/>
      <c r="H160" s="223"/>
      <c r="I160" s="223"/>
      <c r="J160" s="223"/>
      <c r="K160" s="223"/>
      <c r="L160" s="223"/>
      <c r="M160" s="223"/>
      <c r="N160" s="223"/>
      <c r="O160" s="223"/>
      <c r="P160" s="223"/>
    </row>
    <row r="161" spans="2:16" x14ac:dyDescent="0.25">
      <c r="B161" s="223"/>
      <c r="C161" s="223"/>
      <c r="D161" s="223"/>
      <c r="E161" s="223"/>
      <c r="F161" s="223"/>
      <c r="G161" s="223"/>
      <c r="H161" s="223"/>
      <c r="I161" s="223"/>
      <c r="J161" s="223"/>
      <c r="K161" s="223"/>
      <c r="L161" s="223"/>
      <c r="M161" s="223"/>
      <c r="N161" s="223"/>
      <c r="O161" s="223"/>
      <c r="P161" s="223"/>
    </row>
    <row r="162" spans="2:16" x14ac:dyDescent="0.25">
      <c r="B162" s="223"/>
      <c r="C162" s="223"/>
      <c r="D162" s="223"/>
      <c r="E162" s="223"/>
      <c r="F162" s="223"/>
      <c r="G162" s="223"/>
      <c r="H162" s="223"/>
      <c r="I162" s="223"/>
      <c r="J162" s="223"/>
      <c r="K162" s="223"/>
      <c r="L162" s="223"/>
      <c r="M162" s="223"/>
      <c r="N162" s="223"/>
      <c r="O162" s="223"/>
      <c r="P162" s="223"/>
    </row>
    <row r="163" spans="2:16" x14ac:dyDescent="0.25">
      <c r="B163" s="223"/>
      <c r="C163" s="223"/>
      <c r="D163" s="223"/>
      <c r="E163" s="223"/>
      <c r="F163" s="223"/>
      <c r="G163" s="223"/>
      <c r="H163" s="223"/>
      <c r="I163" s="223"/>
      <c r="J163" s="223"/>
      <c r="K163" s="223"/>
      <c r="L163" s="223"/>
      <c r="M163" s="223"/>
      <c r="N163" s="223"/>
      <c r="O163" s="223"/>
      <c r="P163" s="223"/>
    </row>
    <row r="164" spans="2:16" x14ac:dyDescent="0.25">
      <c r="B164" s="223"/>
      <c r="C164" s="223"/>
      <c r="D164" s="223"/>
      <c r="E164" s="223"/>
      <c r="F164" s="223"/>
      <c r="G164" s="223"/>
      <c r="H164" s="223"/>
      <c r="I164" s="223"/>
      <c r="J164" s="223"/>
      <c r="K164" s="223"/>
      <c r="L164" s="223"/>
      <c r="M164" s="223"/>
      <c r="N164" s="223"/>
      <c r="O164" s="223"/>
      <c r="P164" s="223"/>
    </row>
    <row r="165" spans="2:16" x14ac:dyDescent="0.25">
      <c r="B165" s="223"/>
      <c r="C165" s="223"/>
      <c r="D165" s="223"/>
      <c r="E165" s="223"/>
      <c r="F165" s="223"/>
      <c r="G165" s="223"/>
      <c r="H165" s="223"/>
      <c r="I165" s="223"/>
      <c r="J165" s="223"/>
      <c r="K165" s="223"/>
      <c r="L165" s="223"/>
      <c r="M165" s="223"/>
      <c r="N165" s="223"/>
      <c r="O165" s="223"/>
      <c r="P165" s="223"/>
    </row>
    <row r="166" spans="2:16" x14ac:dyDescent="0.25">
      <c r="B166" s="223"/>
      <c r="C166" s="223"/>
      <c r="D166" s="223"/>
      <c r="E166" s="223"/>
      <c r="F166" s="223"/>
      <c r="G166" s="223"/>
      <c r="H166" s="223"/>
      <c r="I166" s="223"/>
      <c r="J166" s="223"/>
      <c r="K166" s="223"/>
      <c r="L166" s="223"/>
      <c r="M166" s="223"/>
      <c r="N166" s="223"/>
      <c r="O166" s="223"/>
      <c r="P166" s="223"/>
    </row>
    <row r="167" spans="2:16" x14ac:dyDescent="0.25">
      <c r="B167" s="223"/>
      <c r="C167" s="223"/>
      <c r="D167" s="223"/>
      <c r="E167" s="223"/>
      <c r="F167" s="223"/>
      <c r="G167" s="223"/>
      <c r="H167" s="223"/>
      <c r="I167" s="223"/>
      <c r="J167" s="223"/>
      <c r="K167" s="223"/>
      <c r="L167" s="223"/>
      <c r="M167" s="223"/>
      <c r="N167" s="223"/>
      <c r="O167" s="223"/>
      <c r="P167" s="223"/>
    </row>
    <row r="168" spans="2:16" x14ac:dyDescent="0.25">
      <c r="B168" s="223"/>
      <c r="C168" s="223"/>
      <c r="D168" s="223"/>
      <c r="E168" s="223"/>
      <c r="F168" s="223"/>
      <c r="G168" s="223"/>
      <c r="H168" s="223"/>
      <c r="I168" s="223"/>
      <c r="J168" s="223"/>
      <c r="K168" s="223"/>
      <c r="L168" s="223"/>
      <c r="M168" s="223"/>
      <c r="N168" s="223"/>
      <c r="O168" s="223"/>
      <c r="P168" s="223"/>
    </row>
    <row r="169" spans="2:16" x14ac:dyDescent="0.25">
      <c r="B169" s="223"/>
      <c r="C169" s="223"/>
      <c r="D169" s="223"/>
      <c r="E169" s="223"/>
      <c r="F169" s="223"/>
      <c r="G169" s="223"/>
      <c r="H169" s="223"/>
      <c r="I169" s="223"/>
      <c r="J169" s="223"/>
      <c r="K169" s="223"/>
      <c r="L169" s="223"/>
      <c r="M169" s="223"/>
      <c r="N169" s="223"/>
      <c r="O169" s="223"/>
      <c r="P169" s="223"/>
    </row>
    <row r="170" spans="2:16" x14ac:dyDescent="0.25">
      <c r="B170" s="223"/>
      <c r="C170" s="223"/>
      <c r="D170" s="223"/>
      <c r="E170" s="223"/>
      <c r="F170" s="223"/>
      <c r="G170" s="223"/>
      <c r="H170" s="223"/>
      <c r="I170" s="223"/>
      <c r="J170" s="223"/>
      <c r="K170" s="223"/>
      <c r="L170" s="223"/>
      <c r="M170" s="223"/>
      <c r="N170" s="223"/>
      <c r="O170" s="223"/>
      <c r="P170" s="223"/>
    </row>
    <row r="171" spans="2:16" x14ac:dyDescent="0.25">
      <c r="B171" s="223"/>
      <c r="C171" s="223"/>
      <c r="D171" s="223"/>
      <c r="E171" s="223"/>
      <c r="F171" s="223"/>
      <c r="G171" s="223"/>
      <c r="H171" s="223"/>
      <c r="I171" s="223"/>
      <c r="J171" s="223"/>
      <c r="K171" s="223"/>
      <c r="L171" s="223"/>
      <c r="M171" s="223"/>
      <c r="N171" s="223"/>
      <c r="O171" s="223"/>
      <c r="P171" s="223"/>
    </row>
    <row r="172" spans="2:16" x14ac:dyDescent="0.25">
      <c r="B172" s="223"/>
      <c r="C172" s="223"/>
      <c r="D172" s="223"/>
      <c r="E172" s="223"/>
      <c r="F172" s="223"/>
      <c r="G172" s="223"/>
      <c r="H172" s="223"/>
      <c r="I172" s="223"/>
      <c r="J172" s="223"/>
      <c r="K172" s="223"/>
      <c r="L172" s="223"/>
      <c r="M172" s="223"/>
      <c r="N172" s="223"/>
      <c r="O172" s="223"/>
      <c r="P172" s="223"/>
    </row>
    <row r="173" spans="2:16" x14ac:dyDescent="0.25">
      <c r="B173" s="223"/>
      <c r="C173" s="223"/>
      <c r="D173" s="223"/>
      <c r="E173" s="223"/>
      <c r="F173" s="223"/>
      <c r="G173" s="223"/>
      <c r="H173" s="223"/>
      <c r="I173" s="223"/>
      <c r="J173" s="223"/>
      <c r="K173" s="223"/>
      <c r="L173" s="223"/>
      <c r="M173" s="223"/>
      <c r="N173" s="223"/>
      <c r="O173" s="223"/>
      <c r="P173" s="223"/>
    </row>
    <row r="174" spans="2:16" x14ac:dyDescent="0.25">
      <c r="B174" s="223"/>
      <c r="C174" s="223"/>
      <c r="D174" s="223"/>
      <c r="E174" s="223"/>
      <c r="F174" s="223"/>
      <c r="G174" s="223"/>
      <c r="H174" s="223"/>
      <c r="I174" s="223"/>
      <c r="J174" s="223"/>
      <c r="K174" s="223"/>
      <c r="L174" s="223"/>
      <c r="M174" s="223"/>
      <c r="N174" s="223"/>
      <c r="O174" s="223"/>
      <c r="P174" s="223"/>
    </row>
    <row r="175" spans="2:16" x14ac:dyDescent="0.25">
      <c r="B175" s="223"/>
      <c r="C175" s="223"/>
      <c r="D175" s="223"/>
      <c r="E175" s="223"/>
      <c r="F175" s="223"/>
      <c r="G175" s="223"/>
      <c r="H175" s="223"/>
      <c r="I175" s="223"/>
      <c r="J175" s="223"/>
      <c r="K175" s="223"/>
      <c r="L175" s="223"/>
      <c r="M175" s="223"/>
      <c r="N175" s="223"/>
      <c r="O175" s="223"/>
      <c r="P175" s="223"/>
    </row>
    <row r="177" spans="2:16" x14ac:dyDescent="0.25">
      <c r="B177" s="221" t="s">
        <v>323</v>
      </c>
      <c r="C177" s="221"/>
      <c r="D177" s="221"/>
      <c r="E177" s="221"/>
      <c r="F177" s="221"/>
      <c r="G177" s="221"/>
      <c r="H177" s="221"/>
      <c r="I177" s="221"/>
      <c r="J177" s="221"/>
      <c r="K177" s="221"/>
      <c r="L177" s="221"/>
      <c r="M177" s="221"/>
      <c r="N177" s="221"/>
      <c r="O177" s="221"/>
      <c r="P177" s="221"/>
    </row>
    <row r="178" spans="2:16" x14ac:dyDescent="0.25">
      <c r="B178" s="221"/>
      <c r="C178" s="221"/>
      <c r="D178" s="221"/>
      <c r="E178" s="221"/>
      <c r="F178" s="221"/>
      <c r="G178" s="221"/>
      <c r="H178" s="221"/>
      <c r="I178" s="221"/>
      <c r="J178" s="221"/>
      <c r="K178" s="221"/>
      <c r="L178" s="221"/>
      <c r="M178" s="221"/>
      <c r="N178" s="221"/>
      <c r="O178" s="221"/>
      <c r="P178" s="221"/>
    </row>
    <row r="179" spans="2:16" ht="15" customHeight="1" x14ac:dyDescent="0.25">
      <c r="B179" s="220" t="s">
        <v>330</v>
      </c>
      <c r="C179" s="220"/>
      <c r="D179" s="220"/>
      <c r="E179" s="220"/>
      <c r="F179" s="220"/>
      <c r="G179" s="220"/>
      <c r="H179" s="220"/>
      <c r="I179" s="220"/>
      <c r="J179" s="220"/>
      <c r="K179" s="220"/>
      <c r="L179" s="220"/>
      <c r="M179" s="220"/>
      <c r="N179" s="220"/>
      <c r="O179" s="220"/>
      <c r="P179" s="220"/>
    </row>
    <row r="180" spans="2:16" x14ac:dyDescent="0.25">
      <c r="B180" s="220"/>
      <c r="C180" s="220"/>
      <c r="D180" s="220"/>
      <c r="E180" s="220"/>
      <c r="F180" s="220"/>
      <c r="G180" s="220"/>
      <c r="H180" s="220"/>
      <c r="I180" s="220"/>
      <c r="J180" s="220"/>
      <c r="K180" s="220"/>
      <c r="L180" s="220"/>
      <c r="M180" s="220"/>
      <c r="N180" s="220"/>
      <c r="O180" s="220"/>
      <c r="P180" s="220"/>
    </row>
    <row r="181" spans="2:16" x14ac:dyDescent="0.25">
      <c r="B181" s="220"/>
      <c r="C181" s="220"/>
      <c r="D181" s="220"/>
      <c r="E181" s="220"/>
      <c r="F181" s="220"/>
      <c r="G181" s="220"/>
      <c r="H181" s="220"/>
      <c r="I181" s="220"/>
      <c r="J181" s="220"/>
      <c r="K181" s="220"/>
      <c r="L181" s="220"/>
      <c r="M181" s="220"/>
      <c r="N181" s="220"/>
      <c r="O181" s="220"/>
      <c r="P181" s="220"/>
    </row>
    <row r="182" spans="2:16" x14ac:dyDescent="0.25">
      <c r="B182" s="220"/>
      <c r="C182" s="220"/>
      <c r="D182" s="220"/>
      <c r="E182" s="220"/>
      <c r="F182" s="220"/>
      <c r="G182" s="220"/>
      <c r="H182" s="220"/>
      <c r="I182" s="220"/>
      <c r="J182" s="220"/>
      <c r="K182" s="220"/>
      <c r="L182" s="220"/>
      <c r="M182" s="220"/>
      <c r="N182" s="220"/>
      <c r="O182" s="220"/>
      <c r="P182" s="220"/>
    </row>
    <row r="183" spans="2:16" x14ac:dyDescent="0.25">
      <c r="B183" s="220"/>
      <c r="C183" s="220"/>
      <c r="D183" s="220"/>
      <c r="E183" s="220"/>
      <c r="F183" s="220"/>
      <c r="G183" s="220"/>
      <c r="H183" s="220"/>
      <c r="I183" s="220"/>
      <c r="J183" s="220"/>
      <c r="K183" s="220"/>
      <c r="L183" s="220"/>
      <c r="M183" s="220"/>
      <c r="N183" s="220"/>
      <c r="O183" s="220"/>
      <c r="P183" s="220"/>
    </row>
    <row r="184" spans="2:16" x14ac:dyDescent="0.25">
      <c r="B184" s="220"/>
      <c r="C184" s="220"/>
      <c r="D184" s="220"/>
      <c r="E184" s="220"/>
      <c r="F184" s="220"/>
      <c r="G184" s="220"/>
      <c r="H184" s="220"/>
      <c r="I184" s="220"/>
      <c r="J184" s="220"/>
      <c r="K184" s="220"/>
      <c r="L184" s="220"/>
      <c r="M184" s="220"/>
      <c r="N184" s="220"/>
      <c r="O184" s="220"/>
      <c r="P184" s="220"/>
    </row>
    <row r="185" spans="2:16" x14ac:dyDescent="0.25">
      <c r="B185" s="220"/>
      <c r="C185" s="220"/>
      <c r="D185" s="220"/>
      <c r="E185" s="220"/>
      <c r="F185" s="220"/>
      <c r="G185" s="220"/>
      <c r="H185" s="220"/>
      <c r="I185" s="220"/>
      <c r="J185" s="220"/>
      <c r="K185" s="220"/>
      <c r="L185" s="220"/>
      <c r="M185" s="220"/>
      <c r="N185" s="220"/>
      <c r="O185" s="220"/>
      <c r="P185" s="220"/>
    </row>
    <row r="186" spans="2:16" x14ac:dyDescent="0.25">
      <c r="B186" s="220"/>
      <c r="C186" s="220"/>
      <c r="D186" s="220"/>
      <c r="E186" s="220"/>
      <c r="F186" s="220"/>
      <c r="G186" s="220"/>
      <c r="H186" s="220"/>
      <c r="I186" s="220"/>
      <c r="J186" s="220"/>
      <c r="K186" s="220"/>
      <c r="L186" s="220"/>
      <c r="M186" s="220"/>
      <c r="N186" s="220"/>
      <c r="O186" s="220"/>
      <c r="P186" s="220"/>
    </row>
    <row r="187" spans="2:16" x14ac:dyDescent="0.25">
      <c r="B187" s="220"/>
      <c r="C187" s="220"/>
      <c r="D187" s="220"/>
      <c r="E187" s="220"/>
      <c r="F187" s="220"/>
      <c r="G187" s="220"/>
      <c r="H187" s="220"/>
      <c r="I187" s="220"/>
      <c r="J187" s="220"/>
      <c r="K187" s="220"/>
      <c r="L187" s="220"/>
      <c r="M187" s="220"/>
      <c r="N187" s="220"/>
      <c r="O187" s="220"/>
      <c r="P187" s="220"/>
    </row>
    <row r="188" spans="2:16" x14ac:dyDescent="0.25">
      <c r="B188" s="220"/>
      <c r="C188" s="220"/>
      <c r="D188" s="220"/>
      <c r="E188" s="220"/>
      <c r="F188" s="220"/>
      <c r="G188" s="220"/>
      <c r="H188" s="220"/>
      <c r="I188" s="220"/>
      <c r="J188" s="220"/>
      <c r="K188" s="220"/>
      <c r="L188" s="220"/>
      <c r="M188" s="220"/>
      <c r="N188" s="220"/>
      <c r="O188" s="220"/>
      <c r="P188" s="220"/>
    </row>
    <row r="189" spans="2:16" x14ac:dyDescent="0.25">
      <c r="B189" s="220"/>
      <c r="C189" s="220"/>
      <c r="D189" s="220"/>
      <c r="E189" s="220"/>
      <c r="F189" s="220"/>
      <c r="G189" s="220"/>
      <c r="H189" s="220"/>
      <c r="I189" s="220"/>
      <c r="J189" s="220"/>
      <c r="K189" s="220"/>
      <c r="L189" s="220"/>
      <c r="M189" s="220"/>
      <c r="N189" s="220"/>
      <c r="O189" s="220"/>
      <c r="P189" s="220"/>
    </row>
    <row r="190" spans="2:16" x14ac:dyDescent="0.25">
      <c r="B190" s="220"/>
      <c r="C190" s="220"/>
      <c r="D190" s="220"/>
      <c r="E190" s="220"/>
      <c r="F190" s="220"/>
      <c r="G190" s="220"/>
      <c r="H190" s="220"/>
      <c r="I190" s="220"/>
      <c r="J190" s="220"/>
      <c r="K190" s="220"/>
      <c r="L190" s="220"/>
      <c r="M190" s="220"/>
      <c r="N190" s="220"/>
      <c r="O190" s="220"/>
      <c r="P190" s="220"/>
    </row>
    <row r="191" spans="2:16" x14ac:dyDescent="0.25">
      <c r="B191" s="220"/>
      <c r="C191" s="220"/>
      <c r="D191" s="220"/>
      <c r="E191" s="220"/>
      <c r="F191" s="220"/>
      <c r="G191" s="220"/>
      <c r="H191" s="220"/>
      <c r="I191" s="220"/>
      <c r="J191" s="220"/>
      <c r="K191" s="220"/>
      <c r="L191" s="220"/>
      <c r="M191" s="220"/>
      <c r="N191" s="220"/>
      <c r="O191" s="220"/>
      <c r="P191" s="220"/>
    </row>
    <row r="192" spans="2:16" x14ac:dyDescent="0.25">
      <c r="B192" s="220"/>
      <c r="C192" s="220"/>
      <c r="D192" s="220"/>
      <c r="E192" s="220"/>
      <c r="F192" s="220"/>
      <c r="G192" s="220"/>
      <c r="H192" s="220"/>
      <c r="I192" s="220"/>
      <c r="J192" s="220"/>
      <c r="K192" s="220"/>
      <c r="L192" s="220"/>
      <c r="M192" s="220"/>
      <c r="N192" s="220"/>
      <c r="O192" s="220"/>
      <c r="P192" s="220"/>
    </row>
    <row r="193" spans="2:16" x14ac:dyDescent="0.25">
      <c r="B193" s="220"/>
      <c r="C193" s="220"/>
      <c r="D193" s="220"/>
      <c r="E193" s="220"/>
      <c r="F193" s="220"/>
      <c r="G193" s="220"/>
      <c r="H193" s="220"/>
      <c r="I193" s="220"/>
      <c r="J193" s="220"/>
      <c r="K193" s="220"/>
      <c r="L193" s="220"/>
      <c r="M193" s="220"/>
      <c r="N193" s="220"/>
      <c r="O193" s="220"/>
      <c r="P193" s="220"/>
    </row>
    <row r="194" spans="2:16" x14ac:dyDescent="0.25">
      <c r="B194" s="220"/>
      <c r="C194" s="220"/>
      <c r="D194" s="220"/>
      <c r="E194" s="220"/>
      <c r="F194" s="220"/>
      <c r="G194" s="220"/>
      <c r="H194" s="220"/>
      <c r="I194" s="220"/>
      <c r="J194" s="220"/>
      <c r="K194" s="220"/>
      <c r="L194" s="220"/>
      <c r="M194" s="220"/>
      <c r="N194" s="220"/>
      <c r="O194" s="220"/>
      <c r="P194" s="220"/>
    </row>
    <row r="195" spans="2:16" x14ac:dyDescent="0.25">
      <c r="B195" s="220"/>
      <c r="C195" s="220"/>
      <c r="D195" s="220"/>
      <c r="E195" s="220"/>
      <c r="F195" s="220"/>
      <c r="G195" s="220"/>
      <c r="H195" s="220"/>
      <c r="I195" s="220"/>
      <c r="J195" s="220"/>
      <c r="K195" s="220"/>
      <c r="L195" s="220"/>
      <c r="M195" s="220"/>
      <c r="N195" s="220"/>
      <c r="O195" s="220"/>
      <c r="P195" s="220"/>
    </row>
    <row r="196" spans="2:16" x14ac:dyDescent="0.25">
      <c r="B196" s="220"/>
      <c r="C196" s="220"/>
      <c r="D196" s="220"/>
      <c r="E196" s="220"/>
      <c r="F196" s="220"/>
      <c r="G196" s="220"/>
      <c r="H196" s="220"/>
      <c r="I196" s="220"/>
      <c r="J196" s="220"/>
      <c r="K196" s="220"/>
      <c r="L196" s="220"/>
      <c r="M196" s="220"/>
      <c r="N196" s="220"/>
      <c r="O196" s="220"/>
      <c r="P196" s="220"/>
    </row>
    <row r="197" spans="2:16" x14ac:dyDescent="0.25">
      <c r="B197" s="220"/>
      <c r="C197" s="220"/>
      <c r="D197" s="220"/>
      <c r="E197" s="220"/>
      <c r="F197" s="220"/>
      <c r="G197" s="220"/>
      <c r="H197" s="220"/>
      <c r="I197" s="220"/>
      <c r="J197" s="220"/>
      <c r="K197" s="220"/>
      <c r="L197" s="220"/>
      <c r="M197" s="220"/>
      <c r="N197" s="220"/>
      <c r="O197" s="220"/>
      <c r="P197" s="220"/>
    </row>
    <row r="199" spans="2:16" x14ac:dyDescent="0.25">
      <c r="B199" s="224" t="s">
        <v>324</v>
      </c>
      <c r="C199" s="224"/>
      <c r="D199" s="224"/>
      <c r="E199" s="224"/>
      <c r="F199" s="224"/>
      <c r="G199" s="224"/>
      <c r="H199" s="224"/>
      <c r="I199" s="224"/>
      <c r="J199" s="224"/>
      <c r="K199" s="224"/>
      <c r="L199" s="224"/>
      <c r="M199" s="224"/>
      <c r="N199" s="224"/>
      <c r="O199" s="224"/>
      <c r="P199" s="224"/>
    </row>
    <row r="200" spans="2:16" x14ac:dyDescent="0.25">
      <c r="B200" s="224"/>
      <c r="C200" s="224"/>
      <c r="D200" s="224"/>
      <c r="E200" s="224"/>
      <c r="F200" s="224"/>
      <c r="G200" s="224"/>
      <c r="H200" s="224"/>
      <c r="I200" s="224"/>
      <c r="J200" s="224"/>
      <c r="K200" s="224"/>
      <c r="L200" s="224"/>
      <c r="M200" s="224"/>
      <c r="N200" s="224"/>
      <c r="O200" s="224"/>
      <c r="P200" s="224"/>
    </row>
    <row r="201" spans="2:16" x14ac:dyDescent="0.25">
      <c r="B201" s="225" t="s">
        <v>327</v>
      </c>
      <c r="C201" s="225"/>
      <c r="D201" s="225"/>
      <c r="E201" s="225"/>
      <c r="F201" s="225"/>
      <c r="G201" s="225"/>
      <c r="H201" s="225"/>
      <c r="I201" s="225"/>
      <c r="J201" s="225"/>
      <c r="K201" s="225"/>
      <c r="L201" s="225"/>
      <c r="M201" s="225"/>
      <c r="N201" s="225"/>
      <c r="O201" s="225"/>
      <c r="P201" s="225"/>
    </row>
    <row r="202" spans="2:16" x14ac:dyDescent="0.25">
      <c r="B202" s="225"/>
      <c r="C202" s="225"/>
      <c r="D202" s="225"/>
      <c r="E202" s="225"/>
      <c r="F202" s="225"/>
      <c r="G202" s="225"/>
      <c r="H202" s="225"/>
      <c r="I202" s="225"/>
      <c r="J202" s="225"/>
      <c r="K202" s="225"/>
      <c r="L202" s="225"/>
      <c r="M202" s="225"/>
      <c r="N202" s="225"/>
      <c r="O202" s="225"/>
      <c r="P202" s="225"/>
    </row>
    <row r="203" spans="2:16" x14ac:dyDescent="0.25">
      <c r="B203" s="225"/>
      <c r="C203" s="225"/>
      <c r="D203" s="225"/>
      <c r="E203" s="225"/>
      <c r="F203" s="225"/>
      <c r="G203" s="225"/>
      <c r="H203" s="225"/>
      <c r="I203" s="225"/>
      <c r="J203" s="225"/>
      <c r="K203" s="225"/>
      <c r="L203" s="225"/>
      <c r="M203" s="225"/>
      <c r="N203" s="225"/>
      <c r="O203" s="225"/>
      <c r="P203" s="225"/>
    </row>
    <row r="204" spans="2:16" x14ac:dyDescent="0.25">
      <c r="B204" s="225"/>
      <c r="C204" s="225"/>
      <c r="D204" s="225"/>
      <c r="E204" s="225"/>
      <c r="F204" s="225"/>
      <c r="G204" s="225"/>
      <c r="H204" s="225"/>
      <c r="I204" s="225"/>
      <c r="J204" s="225"/>
      <c r="K204" s="225"/>
      <c r="L204" s="225"/>
      <c r="M204" s="225"/>
      <c r="N204" s="225"/>
      <c r="O204" s="225"/>
      <c r="P204" s="225"/>
    </row>
    <row r="205" spans="2:16" x14ac:dyDescent="0.25">
      <c r="B205" s="225"/>
      <c r="C205" s="225"/>
      <c r="D205" s="225"/>
      <c r="E205" s="225"/>
      <c r="F205" s="225"/>
      <c r="G205" s="225"/>
      <c r="H205" s="225"/>
      <c r="I205" s="225"/>
      <c r="J205" s="225"/>
      <c r="K205" s="225"/>
      <c r="L205" s="225"/>
      <c r="M205" s="225"/>
      <c r="N205" s="225"/>
      <c r="O205" s="225"/>
      <c r="P205" s="225"/>
    </row>
    <row r="206" spans="2:16" x14ac:dyDescent="0.25">
      <c r="B206" s="225"/>
      <c r="C206" s="225"/>
      <c r="D206" s="225"/>
      <c r="E206" s="225"/>
      <c r="F206" s="225"/>
      <c r="G206" s="225"/>
      <c r="H206" s="225"/>
      <c r="I206" s="225"/>
      <c r="J206" s="225"/>
      <c r="K206" s="225"/>
      <c r="L206" s="225"/>
      <c r="M206" s="225"/>
      <c r="N206" s="225"/>
      <c r="O206" s="225"/>
      <c r="P206" s="225"/>
    </row>
    <row r="207" spans="2:16" x14ac:dyDescent="0.25">
      <c r="B207" s="225"/>
      <c r="C207" s="225"/>
      <c r="D207" s="225"/>
      <c r="E207" s="225"/>
      <c r="F207" s="225"/>
      <c r="G207" s="225"/>
      <c r="H207" s="225"/>
      <c r="I207" s="225"/>
      <c r="J207" s="225"/>
      <c r="K207" s="225"/>
      <c r="L207" s="225"/>
      <c r="M207" s="225"/>
      <c r="N207" s="225"/>
      <c r="O207" s="225"/>
      <c r="P207" s="225"/>
    </row>
    <row r="208" spans="2:16" x14ac:dyDescent="0.25">
      <c r="B208" s="225"/>
      <c r="C208" s="225"/>
      <c r="D208" s="225"/>
      <c r="E208" s="225"/>
      <c r="F208" s="225"/>
      <c r="G208" s="225"/>
      <c r="H208" s="225"/>
      <c r="I208" s="225"/>
      <c r="J208" s="225"/>
      <c r="K208" s="225"/>
      <c r="L208" s="225"/>
      <c r="M208" s="225"/>
      <c r="N208" s="225"/>
      <c r="O208" s="225"/>
      <c r="P208" s="225"/>
    </row>
    <row r="209" spans="2:16" x14ac:dyDescent="0.25">
      <c r="B209" s="225"/>
      <c r="C209" s="225"/>
      <c r="D209" s="225"/>
      <c r="E209" s="225"/>
      <c r="F209" s="225"/>
      <c r="G209" s="225"/>
      <c r="H209" s="225"/>
      <c r="I209" s="225"/>
      <c r="J209" s="225"/>
      <c r="K209" s="225"/>
      <c r="L209" s="225"/>
      <c r="M209" s="225"/>
      <c r="N209" s="225"/>
      <c r="O209" s="225"/>
      <c r="P209" s="225"/>
    </row>
    <row r="210" spans="2:16" x14ac:dyDescent="0.25">
      <c r="B210" s="225"/>
      <c r="C210" s="225"/>
      <c r="D210" s="225"/>
      <c r="E210" s="225"/>
      <c r="F210" s="225"/>
      <c r="G210" s="225"/>
      <c r="H210" s="225"/>
      <c r="I210" s="225"/>
      <c r="J210" s="225"/>
      <c r="K210" s="225"/>
      <c r="L210" s="225"/>
      <c r="M210" s="225"/>
      <c r="N210" s="225"/>
      <c r="O210" s="225"/>
      <c r="P210" s="225"/>
    </row>
    <row r="211" spans="2:16" x14ac:dyDescent="0.25">
      <c r="B211" s="225"/>
      <c r="C211" s="225"/>
      <c r="D211" s="225"/>
      <c r="E211" s="225"/>
      <c r="F211" s="225"/>
      <c r="G211" s="225"/>
      <c r="H211" s="225"/>
      <c r="I211" s="225"/>
      <c r="J211" s="225"/>
      <c r="K211" s="225"/>
      <c r="L211" s="225"/>
      <c r="M211" s="225"/>
      <c r="N211" s="225"/>
      <c r="O211" s="225"/>
      <c r="P211" s="225"/>
    </row>
    <row r="212" spans="2:16" x14ac:dyDescent="0.25">
      <c r="B212" s="225"/>
      <c r="C212" s="225"/>
      <c r="D212" s="225"/>
      <c r="E212" s="225"/>
      <c r="F212" s="225"/>
      <c r="G212" s="225"/>
      <c r="H212" s="225"/>
      <c r="I212" s="225"/>
      <c r="J212" s="225"/>
      <c r="K212" s="225"/>
      <c r="L212" s="225"/>
      <c r="M212" s="225"/>
      <c r="N212" s="225"/>
      <c r="O212" s="225"/>
      <c r="P212" s="225"/>
    </row>
    <row r="213" spans="2:16" x14ac:dyDescent="0.25">
      <c r="B213" s="225"/>
      <c r="C213" s="225"/>
      <c r="D213" s="225"/>
      <c r="E213" s="225"/>
      <c r="F213" s="225"/>
      <c r="G213" s="225"/>
      <c r="H213" s="225"/>
      <c r="I213" s="225"/>
      <c r="J213" s="225"/>
      <c r="K213" s="225"/>
      <c r="L213" s="225"/>
      <c r="M213" s="225"/>
      <c r="N213" s="225"/>
      <c r="O213" s="225"/>
      <c r="P213" s="225"/>
    </row>
    <row r="214" spans="2:16" x14ac:dyDescent="0.25">
      <c r="B214" s="225"/>
      <c r="C214" s="225"/>
      <c r="D214" s="225"/>
      <c r="E214" s="225"/>
      <c r="F214" s="225"/>
      <c r="G214" s="225"/>
      <c r="H214" s="225"/>
      <c r="I214" s="225"/>
      <c r="J214" s="225"/>
      <c r="K214" s="225"/>
      <c r="L214" s="225"/>
      <c r="M214" s="225"/>
      <c r="N214" s="225"/>
      <c r="O214" s="225"/>
      <c r="P214" s="225"/>
    </row>
    <row r="215" spans="2:16" x14ac:dyDescent="0.25">
      <c r="B215" s="225"/>
      <c r="C215" s="225"/>
      <c r="D215" s="225"/>
      <c r="E215" s="225"/>
      <c r="F215" s="225"/>
      <c r="G215" s="225"/>
      <c r="H215" s="225"/>
      <c r="I215" s="225"/>
      <c r="J215" s="225"/>
      <c r="K215" s="225"/>
      <c r="L215" s="225"/>
      <c r="M215" s="225"/>
      <c r="N215" s="225"/>
      <c r="O215" s="225"/>
      <c r="P215" s="225"/>
    </row>
    <row r="216" spans="2:16" x14ac:dyDescent="0.25">
      <c r="B216" s="225"/>
      <c r="C216" s="225"/>
      <c r="D216" s="225"/>
      <c r="E216" s="225"/>
      <c r="F216" s="225"/>
      <c r="G216" s="225"/>
      <c r="H216" s="225"/>
      <c r="I216" s="225"/>
      <c r="J216" s="225"/>
      <c r="K216" s="225"/>
      <c r="L216" s="225"/>
      <c r="M216" s="225"/>
      <c r="N216" s="225"/>
      <c r="O216" s="225"/>
      <c r="P216" s="225"/>
    </row>
    <row r="217" spans="2:16" x14ac:dyDescent="0.25">
      <c r="B217" s="225"/>
      <c r="C217" s="225"/>
      <c r="D217" s="225"/>
      <c r="E217" s="225"/>
      <c r="F217" s="225"/>
      <c r="G217" s="225"/>
      <c r="H217" s="225"/>
      <c r="I217" s="225"/>
      <c r="J217" s="225"/>
      <c r="K217" s="225"/>
      <c r="L217" s="225"/>
      <c r="M217" s="225"/>
      <c r="N217" s="225"/>
      <c r="O217" s="225"/>
      <c r="P217" s="225"/>
    </row>
    <row r="218" spans="2:16" x14ac:dyDescent="0.25">
      <c r="B218" s="225"/>
      <c r="C218" s="225"/>
      <c r="D218" s="225"/>
      <c r="E218" s="225"/>
      <c r="F218" s="225"/>
      <c r="G218" s="225"/>
      <c r="H218" s="225"/>
      <c r="I218" s="225"/>
      <c r="J218" s="225"/>
      <c r="K218" s="225"/>
      <c r="L218" s="225"/>
      <c r="M218" s="225"/>
      <c r="N218" s="225"/>
      <c r="O218" s="225"/>
      <c r="P218" s="225"/>
    </row>
    <row r="219" spans="2:16" x14ac:dyDescent="0.25">
      <c r="B219" s="225"/>
      <c r="C219" s="225"/>
      <c r="D219" s="225"/>
      <c r="E219" s="225"/>
      <c r="F219" s="225"/>
      <c r="G219" s="225"/>
      <c r="H219" s="225"/>
      <c r="I219" s="225"/>
      <c r="J219" s="225"/>
      <c r="K219" s="225"/>
      <c r="L219" s="225"/>
      <c r="M219" s="225"/>
      <c r="N219" s="225"/>
      <c r="O219" s="225"/>
      <c r="P219" s="225"/>
    </row>
    <row r="221" spans="2:16" x14ac:dyDescent="0.25">
      <c r="B221" s="221" t="s">
        <v>328</v>
      </c>
      <c r="C221" s="221"/>
      <c r="D221" s="221"/>
      <c r="E221" s="221"/>
      <c r="F221" s="221"/>
      <c r="G221" s="221"/>
      <c r="H221" s="221"/>
      <c r="I221" s="221"/>
      <c r="J221" s="221"/>
      <c r="K221" s="221"/>
      <c r="L221" s="221"/>
      <c r="M221" s="221"/>
      <c r="N221" s="221"/>
      <c r="O221" s="221"/>
      <c r="P221" s="221"/>
    </row>
    <row r="222" spans="2:16" x14ac:dyDescent="0.25">
      <c r="B222" s="221"/>
      <c r="C222" s="221"/>
      <c r="D222" s="221"/>
      <c r="E222" s="221"/>
      <c r="F222" s="221"/>
      <c r="G222" s="221"/>
      <c r="H222" s="221"/>
      <c r="I222" s="221"/>
      <c r="J222" s="221"/>
      <c r="K222" s="221"/>
      <c r="L222" s="221"/>
      <c r="M222" s="221"/>
      <c r="N222" s="221"/>
      <c r="O222" s="221"/>
      <c r="P222" s="221"/>
    </row>
    <row r="223" spans="2:16" x14ac:dyDescent="0.25">
      <c r="B223" s="220" t="s">
        <v>329</v>
      </c>
      <c r="C223" s="220"/>
      <c r="D223" s="220"/>
      <c r="E223" s="220"/>
      <c r="F223" s="220"/>
      <c r="G223" s="220"/>
      <c r="H223" s="220"/>
      <c r="I223" s="220"/>
      <c r="J223" s="220"/>
      <c r="K223" s="220"/>
      <c r="L223" s="220"/>
      <c r="M223" s="220"/>
      <c r="N223" s="220"/>
      <c r="O223" s="220"/>
      <c r="P223" s="220"/>
    </row>
    <row r="224" spans="2:16" x14ac:dyDescent="0.25">
      <c r="B224" s="220"/>
      <c r="C224" s="220"/>
      <c r="D224" s="220"/>
      <c r="E224" s="220"/>
      <c r="F224" s="220"/>
      <c r="G224" s="220"/>
      <c r="H224" s="220"/>
      <c r="I224" s="220"/>
      <c r="J224" s="220"/>
      <c r="K224" s="220"/>
      <c r="L224" s="220"/>
      <c r="M224" s="220"/>
      <c r="N224" s="220"/>
      <c r="O224" s="220"/>
      <c r="P224" s="220"/>
    </row>
    <row r="225" spans="2:16" x14ac:dyDescent="0.25">
      <c r="B225" s="220"/>
      <c r="C225" s="220"/>
      <c r="D225" s="220"/>
      <c r="E225" s="220"/>
      <c r="F225" s="220"/>
      <c r="G225" s="220"/>
      <c r="H225" s="220"/>
      <c r="I225" s="220"/>
      <c r="J225" s="220"/>
      <c r="K225" s="220"/>
      <c r="L225" s="220"/>
      <c r="M225" s="220"/>
      <c r="N225" s="220"/>
      <c r="O225" s="220"/>
      <c r="P225" s="220"/>
    </row>
    <row r="226" spans="2:16" x14ac:dyDescent="0.25">
      <c r="B226" s="220"/>
      <c r="C226" s="220"/>
      <c r="D226" s="220"/>
      <c r="E226" s="220"/>
      <c r="F226" s="220"/>
      <c r="G226" s="220"/>
      <c r="H226" s="220"/>
      <c r="I226" s="220"/>
      <c r="J226" s="220"/>
      <c r="K226" s="220"/>
      <c r="L226" s="220"/>
      <c r="M226" s="220"/>
      <c r="N226" s="220"/>
      <c r="O226" s="220"/>
      <c r="P226" s="220"/>
    </row>
    <row r="227" spans="2:16" x14ac:dyDescent="0.25">
      <c r="B227" s="220"/>
      <c r="C227" s="220"/>
      <c r="D227" s="220"/>
      <c r="E227" s="220"/>
      <c r="F227" s="220"/>
      <c r="G227" s="220"/>
      <c r="H227" s="220"/>
      <c r="I227" s="220"/>
      <c r="J227" s="220"/>
      <c r="K227" s="220"/>
      <c r="L227" s="220"/>
      <c r="M227" s="220"/>
      <c r="N227" s="220"/>
      <c r="O227" s="220"/>
      <c r="P227" s="220"/>
    </row>
    <row r="228" spans="2:16" x14ac:dyDescent="0.25">
      <c r="B228" s="220"/>
      <c r="C228" s="220"/>
      <c r="D228" s="220"/>
      <c r="E228" s="220"/>
      <c r="F228" s="220"/>
      <c r="G228" s="220"/>
      <c r="H228" s="220"/>
      <c r="I228" s="220"/>
      <c r="J228" s="220"/>
      <c r="K228" s="220"/>
      <c r="L228" s="220"/>
      <c r="M228" s="220"/>
      <c r="N228" s="220"/>
      <c r="O228" s="220"/>
      <c r="P228" s="220"/>
    </row>
    <row r="229" spans="2:16" x14ac:dyDescent="0.25">
      <c r="B229" s="220"/>
      <c r="C229" s="220"/>
      <c r="D229" s="220"/>
      <c r="E229" s="220"/>
      <c r="F229" s="220"/>
      <c r="G229" s="220"/>
      <c r="H229" s="220"/>
      <c r="I229" s="220"/>
      <c r="J229" s="220"/>
      <c r="K229" s="220"/>
      <c r="L229" s="220"/>
      <c r="M229" s="220"/>
      <c r="N229" s="220"/>
      <c r="O229" s="220"/>
      <c r="P229" s="220"/>
    </row>
    <row r="230" spans="2:16" x14ac:dyDescent="0.25">
      <c r="B230" s="220"/>
      <c r="C230" s="220"/>
      <c r="D230" s="220"/>
      <c r="E230" s="220"/>
      <c r="F230" s="220"/>
      <c r="G230" s="220"/>
      <c r="H230" s="220"/>
      <c r="I230" s="220"/>
      <c r="J230" s="220"/>
      <c r="K230" s="220"/>
      <c r="L230" s="220"/>
      <c r="M230" s="220"/>
      <c r="N230" s="220"/>
      <c r="O230" s="220"/>
      <c r="P230" s="220"/>
    </row>
    <row r="231" spans="2:16" x14ac:dyDescent="0.25">
      <c r="B231" s="220"/>
      <c r="C231" s="220"/>
      <c r="D231" s="220"/>
      <c r="E231" s="220"/>
      <c r="F231" s="220"/>
      <c r="G231" s="220"/>
      <c r="H231" s="220"/>
      <c r="I231" s="220"/>
      <c r="J231" s="220"/>
      <c r="K231" s="220"/>
      <c r="L231" s="220"/>
      <c r="M231" s="220"/>
      <c r="N231" s="220"/>
      <c r="O231" s="220"/>
      <c r="P231" s="220"/>
    </row>
    <row r="232" spans="2:16" x14ac:dyDescent="0.25">
      <c r="B232" s="220"/>
      <c r="C232" s="220"/>
      <c r="D232" s="220"/>
      <c r="E232" s="220"/>
      <c r="F232" s="220"/>
      <c r="G232" s="220"/>
      <c r="H232" s="220"/>
      <c r="I232" s="220"/>
      <c r="J232" s="220"/>
      <c r="K232" s="220"/>
      <c r="L232" s="220"/>
      <c r="M232" s="220"/>
      <c r="N232" s="220"/>
      <c r="O232" s="220"/>
      <c r="P232" s="220"/>
    </row>
    <row r="233" spans="2:16" x14ac:dyDescent="0.25">
      <c r="B233" s="220"/>
      <c r="C233" s="220"/>
      <c r="D233" s="220"/>
      <c r="E233" s="220"/>
      <c r="F233" s="220"/>
      <c r="G233" s="220"/>
      <c r="H233" s="220"/>
      <c r="I233" s="220"/>
      <c r="J233" s="220"/>
      <c r="K233" s="220"/>
      <c r="L233" s="220"/>
      <c r="M233" s="220"/>
      <c r="N233" s="220"/>
      <c r="O233" s="220"/>
      <c r="P233" s="220"/>
    </row>
    <row r="234" spans="2:16" x14ac:dyDescent="0.25">
      <c r="B234" s="220"/>
      <c r="C234" s="220"/>
      <c r="D234" s="220"/>
      <c r="E234" s="220"/>
      <c r="F234" s="220"/>
      <c r="G234" s="220"/>
      <c r="H234" s="220"/>
      <c r="I234" s="220"/>
      <c r="J234" s="220"/>
      <c r="K234" s="220"/>
      <c r="L234" s="220"/>
      <c r="M234" s="220"/>
      <c r="N234" s="220"/>
      <c r="O234" s="220"/>
      <c r="P234" s="220"/>
    </row>
    <row r="235" spans="2:16" x14ac:dyDescent="0.25">
      <c r="B235" s="220"/>
      <c r="C235" s="220"/>
      <c r="D235" s="220"/>
      <c r="E235" s="220"/>
      <c r="F235" s="220"/>
      <c r="G235" s="220"/>
      <c r="H235" s="220"/>
      <c r="I235" s="220"/>
      <c r="J235" s="220"/>
      <c r="K235" s="220"/>
      <c r="L235" s="220"/>
      <c r="M235" s="220"/>
      <c r="N235" s="220"/>
      <c r="O235" s="220"/>
      <c r="P235" s="220"/>
    </row>
    <row r="236" spans="2:16" x14ac:dyDescent="0.25">
      <c r="B236" s="220"/>
      <c r="C236" s="220"/>
      <c r="D236" s="220"/>
      <c r="E236" s="220"/>
      <c r="F236" s="220"/>
      <c r="G236" s="220"/>
      <c r="H236" s="220"/>
      <c r="I236" s="220"/>
      <c r="J236" s="220"/>
      <c r="K236" s="220"/>
      <c r="L236" s="220"/>
      <c r="M236" s="220"/>
      <c r="N236" s="220"/>
      <c r="O236" s="220"/>
      <c r="P236" s="220"/>
    </row>
    <row r="237" spans="2:16" x14ac:dyDescent="0.25">
      <c r="B237" s="220"/>
      <c r="C237" s="220"/>
      <c r="D237" s="220"/>
      <c r="E237" s="220"/>
      <c r="F237" s="220"/>
      <c r="G237" s="220"/>
      <c r="H237" s="220"/>
      <c r="I237" s="220"/>
      <c r="J237" s="220"/>
      <c r="K237" s="220"/>
      <c r="L237" s="220"/>
      <c r="M237" s="220"/>
      <c r="N237" s="220"/>
      <c r="O237" s="220"/>
      <c r="P237" s="220"/>
    </row>
  </sheetData>
  <sheetProtection algorithmName="SHA-512" hashValue="dHHRsfPXxkN0AqxyHRr5aWPD2mUJIIOT5EyTCVVhSqvJQnvM6T9dLH5tmpzgp04lWOakjai7nIWesMbyXEZd7g==" saltValue="BaEFOgTnqjx6f7iGJ9XFEw==" spinCount="100000" sheet="1" objects="1" scenarios="1"/>
  <mergeCells count="13">
    <mergeCell ref="B221:P222"/>
    <mergeCell ref="B223:P237"/>
    <mergeCell ref="B199:P200"/>
    <mergeCell ref="B201:P219"/>
    <mergeCell ref="B56:P57"/>
    <mergeCell ref="B2:P3"/>
    <mergeCell ref="B5:P6"/>
    <mergeCell ref="B179:P197"/>
    <mergeCell ref="B177:P178"/>
    <mergeCell ref="B111:P112"/>
    <mergeCell ref="B58:P109"/>
    <mergeCell ref="B113:P175"/>
    <mergeCell ref="B7:P54"/>
  </mergeCell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V54"/>
  <sheetViews>
    <sheetView workbookViewId="0">
      <selection activeCell="B2" sqref="B2:V3"/>
    </sheetView>
  </sheetViews>
  <sheetFormatPr defaultRowHeight="15" x14ac:dyDescent="0.25"/>
  <sheetData>
    <row r="2" spans="2:22" x14ac:dyDescent="0.25">
      <c r="B2" s="230" t="s">
        <v>204</v>
      </c>
      <c r="C2" s="230"/>
      <c r="D2" s="230"/>
      <c r="E2" s="230"/>
      <c r="F2" s="230"/>
      <c r="G2" s="230"/>
      <c r="H2" s="230"/>
      <c r="I2" s="230"/>
      <c r="J2" s="230"/>
      <c r="K2" s="230"/>
      <c r="L2" s="230"/>
      <c r="M2" s="230"/>
      <c r="N2" s="230"/>
      <c r="O2" s="230"/>
      <c r="P2" s="230"/>
      <c r="Q2" s="230"/>
      <c r="R2" s="230"/>
      <c r="S2" s="230"/>
      <c r="T2" s="230"/>
      <c r="U2" s="230"/>
      <c r="V2" s="230"/>
    </row>
    <row r="3" spans="2:22" x14ac:dyDescent="0.25">
      <c r="B3" s="230"/>
      <c r="C3" s="230"/>
      <c r="D3" s="230"/>
      <c r="E3" s="230"/>
      <c r="F3" s="230"/>
      <c r="G3" s="230"/>
      <c r="H3" s="230"/>
      <c r="I3" s="230"/>
      <c r="J3" s="230"/>
      <c r="K3" s="230"/>
      <c r="L3" s="230"/>
      <c r="M3" s="230"/>
      <c r="N3" s="230"/>
      <c r="O3" s="230"/>
      <c r="P3" s="230"/>
      <c r="Q3" s="230"/>
      <c r="R3" s="230"/>
      <c r="S3" s="230"/>
      <c r="T3" s="230"/>
      <c r="U3" s="230"/>
      <c r="V3" s="230"/>
    </row>
    <row r="5" spans="2:22" x14ac:dyDescent="0.25">
      <c r="C5" s="315" t="s">
        <v>207</v>
      </c>
      <c r="D5" s="315"/>
      <c r="E5" s="315"/>
      <c r="F5" s="315"/>
      <c r="G5" s="315"/>
      <c r="H5" s="315"/>
      <c r="I5" s="315"/>
      <c r="J5" s="315"/>
      <c r="K5" s="315"/>
      <c r="L5" s="315"/>
      <c r="M5" s="315"/>
      <c r="N5" s="315"/>
      <c r="O5" s="315"/>
      <c r="P5" s="315"/>
      <c r="Q5" s="315"/>
      <c r="R5" s="315"/>
      <c r="S5" s="315"/>
      <c r="T5" s="315"/>
      <c r="U5" s="315"/>
    </row>
    <row r="6" spans="2:22" x14ac:dyDescent="0.25">
      <c r="C6" s="315"/>
      <c r="D6" s="315"/>
      <c r="E6" s="315"/>
      <c r="F6" s="315"/>
      <c r="G6" s="315"/>
      <c r="H6" s="315"/>
      <c r="I6" s="315"/>
      <c r="J6" s="315"/>
      <c r="K6" s="315"/>
      <c r="L6" s="315"/>
      <c r="M6" s="315"/>
      <c r="N6" s="315"/>
      <c r="O6" s="315"/>
      <c r="P6" s="315"/>
      <c r="Q6" s="315"/>
      <c r="R6" s="315"/>
      <c r="S6" s="315"/>
      <c r="T6" s="315"/>
      <c r="U6" s="315"/>
    </row>
    <row r="7" spans="2:22" x14ac:dyDescent="0.25">
      <c r="C7" s="315"/>
      <c r="D7" s="315"/>
      <c r="E7" s="315"/>
      <c r="F7" s="315"/>
      <c r="G7" s="315"/>
      <c r="H7" s="315"/>
      <c r="I7" s="315"/>
      <c r="J7" s="315"/>
      <c r="K7" s="315"/>
      <c r="L7" s="315"/>
      <c r="M7" s="315"/>
      <c r="N7" s="315"/>
      <c r="O7" s="315"/>
      <c r="P7" s="315"/>
      <c r="Q7" s="315"/>
      <c r="R7" s="315"/>
      <c r="S7" s="315"/>
      <c r="T7" s="315"/>
      <c r="U7" s="315"/>
    </row>
    <row r="8" spans="2:22" x14ac:dyDescent="0.25">
      <c r="C8" s="315"/>
      <c r="D8" s="315"/>
      <c r="E8" s="315"/>
      <c r="F8" s="315"/>
      <c r="G8" s="315"/>
      <c r="H8" s="315"/>
      <c r="I8" s="315"/>
      <c r="J8" s="315"/>
      <c r="K8" s="315"/>
      <c r="L8" s="315"/>
      <c r="M8" s="315"/>
      <c r="N8" s="315"/>
      <c r="O8" s="315"/>
      <c r="P8" s="315"/>
      <c r="Q8" s="315"/>
      <c r="R8" s="315"/>
      <c r="S8" s="315"/>
      <c r="T8" s="315"/>
      <c r="U8" s="315"/>
    </row>
    <row r="9" spans="2:22" x14ac:dyDescent="0.25">
      <c r="C9" s="97"/>
      <c r="D9" s="97"/>
      <c r="E9" s="313"/>
      <c r="F9" s="313"/>
      <c r="G9" s="313"/>
      <c r="H9" s="313"/>
      <c r="I9" s="313"/>
      <c r="J9" s="313" t="s">
        <v>189</v>
      </c>
      <c r="K9" s="313"/>
      <c r="L9" s="313"/>
      <c r="M9" s="313"/>
      <c r="N9" s="313"/>
      <c r="O9" s="313"/>
      <c r="P9" s="313"/>
      <c r="Q9" s="313"/>
      <c r="R9" s="313"/>
      <c r="S9" s="313"/>
      <c r="T9" s="97"/>
      <c r="U9" s="97"/>
    </row>
    <row r="10" spans="2:22" x14ac:dyDescent="0.25">
      <c r="C10" s="97"/>
      <c r="D10" s="97"/>
      <c r="E10" s="313"/>
      <c r="F10" s="313"/>
      <c r="G10" s="313"/>
      <c r="H10" s="313"/>
      <c r="I10" s="313"/>
      <c r="J10" s="313"/>
      <c r="K10" s="313"/>
      <c r="L10" s="313"/>
      <c r="M10" s="313"/>
      <c r="N10" s="313"/>
      <c r="O10" s="313"/>
      <c r="P10" s="313"/>
      <c r="Q10" s="313"/>
      <c r="R10" s="313"/>
      <c r="S10" s="313"/>
      <c r="T10" s="97"/>
      <c r="U10" s="97"/>
    </row>
    <row r="11" spans="2:22" x14ac:dyDescent="0.25">
      <c r="C11" s="97"/>
      <c r="D11" s="97"/>
      <c r="E11" s="313"/>
      <c r="F11" s="313"/>
      <c r="G11" s="313"/>
      <c r="H11" s="313"/>
      <c r="I11" s="313"/>
      <c r="J11" s="313"/>
      <c r="K11" s="313"/>
      <c r="L11" s="313"/>
      <c r="M11" s="313"/>
      <c r="N11" s="313"/>
      <c r="O11" s="313"/>
      <c r="P11" s="313"/>
      <c r="Q11" s="313"/>
      <c r="R11" s="313"/>
      <c r="S11" s="313"/>
      <c r="T11" s="97"/>
      <c r="U11" s="97"/>
    </row>
    <row r="12" spans="2:22" x14ac:dyDescent="0.25">
      <c r="C12" s="97"/>
      <c r="D12" s="97"/>
      <c r="E12" s="313"/>
      <c r="F12" s="313"/>
      <c r="G12" s="313"/>
      <c r="H12" s="313"/>
      <c r="I12" s="313"/>
      <c r="J12" s="313"/>
      <c r="K12" s="313"/>
      <c r="L12" s="313"/>
      <c r="M12" s="313"/>
      <c r="N12" s="313"/>
      <c r="O12" s="313"/>
      <c r="P12" s="313"/>
      <c r="Q12" s="313"/>
      <c r="R12" s="313"/>
      <c r="S12" s="313"/>
      <c r="T12" s="97"/>
      <c r="U12" s="97"/>
    </row>
    <row r="13" spans="2:22" x14ac:dyDescent="0.25">
      <c r="C13" s="97"/>
      <c r="D13" s="97"/>
      <c r="E13" s="313"/>
      <c r="F13" s="313"/>
      <c r="G13" s="313"/>
      <c r="H13" s="313"/>
      <c r="I13" s="313"/>
      <c r="J13" s="313"/>
      <c r="K13" s="313"/>
      <c r="L13" s="313"/>
      <c r="M13" s="313"/>
      <c r="N13" s="313"/>
      <c r="O13" s="313"/>
      <c r="P13" s="313"/>
      <c r="Q13" s="313"/>
      <c r="R13" s="313"/>
      <c r="S13" s="313"/>
      <c r="T13" s="97"/>
      <c r="U13" s="97"/>
    </row>
    <row r="14" spans="2:22" x14ac:dyDescent="0.25">
      <c r="C14" s="97"/>
      <c r="D14" s="97"/>
      <c r="E14" s="313"/>
      <c r="F14" s="313"/>
      <c r="G14" s="313"/>
      <c r="H14" s="313"/>
      <c r="I14" s="313"/>
      <c r="J14" s="313"/>
      <c r="K14" s="313"/>
      <c r="L14" s="313"/>
      <c r="M14" s="313"/>
      <c r="N14" s="313"/>
      <c r="O14" s="313"/>
      <c r="P14" s="313"/>
      <c r="Q14" s="313"/>
      <c r="R14" s="313"/>
      <c r="S14" s="313"/>
      <c r="T14" s="97"/>
      <c r="U14" s="97"/>
    </row>
    <row r="15" spans="2:22" x14ac:dyDescent="0.25">
      <c r="C15" s="97"/>
      <c r="D15" s="97"/>
      <c r="E15" s="313"/>
      <c r="F15" s="313"/>
      <c r="G15" s="313"/>
      <c r="H15" s="313"/>
      <c r="I15" s="313"/>
      <c r="J15" s="313"/>
      <c r="K15" s="313"/>
      <c r="L15" s="313"/>
      <c r="M15" s="313"/>
      <c r="N15" s="313"/>
      <c r="O15" s="313"/>
      <c r="P15" s="313"/>
      <c r="Q15" s="313"/>
      <c r="R15" s="313"/>
      <c r="S15" s="313"/>
      <c r="T15" s="97"/>
      <c r="U15" s="97"/>
    </row>
    <row r="16" spans="2:22" x14ac:dyDescent="0.25">
      <c r="C16" s="97"/>
      <c r="D16" s="97"/>
      <c r="E16" s="313"/>
      <c r="F16" s="313"/>
      <c r="G16" s="313"/>
      <c r="H16" s="313"/>
      <c r="I16" s="313"/>
      <c r="J16" s="313"/>
      <c r="K16" s="313"/>
      <c r="L16" s="313"/>
      <c r="M16" s="313"/>
      <c r="N16" s="313"/>
      <c r="O16" s="313"/>
      <c r="P16" s="313"/>
      <c r="Q16" s="313"/>
      <c r="R16" s="313"/>
      <c r="S16" s="313"/>
      <c r="T16" s="97"/>
      <c r="U16" s="97"/>
    </row>
    <row r="17" spans="3:21" x14ac:dyDescent="0.25">
      <c r="C17" s="97"/>
      <c r="D17" s="97"/>
      <c r="E17" s="313"/>
      <c r="F17" s="313"/>
      <c r="G17" s="313"/>
      <c r="H17" s="313"/>
      <c r="I17" s="313"/>
      <c r="J17" s="313"/>
      <c r="K17" s="313"/>
      <c r="L17" s="313"/>
      <c r="M17" s="313"/>
      <c r="N17" s="313"/>
      <c r="O17" s="313"/>
      <c r="P17" s="313"/>
      <c r="Q17" s="313"/>
      <c r="R17" s="313"/>
      <c r="S17" s="313"/>
      <c r="T17" s="97"/>
      <c r="U17" s="97"/>
    </row>
    <row r="18" spans="3:21" x14ac:dyDescent="0.25">
      <c r="C18" s="97"/>
      <c r="D18" s="97"/>
      <c r="E18" s="313"/>
      <c r="F18" s="313"/>
      <c r="G18" s="313"/>
      <c r="H18" s="313"/>
      <c r="I18" s="313"/>
      <c r="J18" s="313"/>
      <c r="K18" s="313"/>
      <c r="L18" s="313"/>
      <c r="M18" s="313"/>
      <c r="N18" s="313"/>
      <c r="O18" s="313"/>
      <c r="P18" s="313"/>
      <c r="Q18" s="313"/>
      <c r="R18" s="313"/>
      <c r="S18" s="313"/>
      <c r="T18" s="97"/>
      <c r="U18" s="97"/>
    </row>
    <row r="19" spans="3:21" x14ac:dyDescent="0.25">
      <c r="C19" s="97"/>
      <c r="D19" s="97"/>
      <c r="E19" s="313"/>
      <c r="F19" s="313"/>
      <c r="G19" s="313"/>
      <c r="H19" s="313"/>
      <c r="I19" s="313"/>
      <c r="J19" s="313"/>
      <c r="K19" s="313"/>
      <c r="L19" s="313"/>
      <c r="M19" s="313"/>
      <c r="N19" s="313"/>
      <c r="O19" s="313"/>
      <c r="P19" s="313"/>
      <c r="Q19" s="313"/>
      <c r="R19" s="313"/>
      <c r="S19" s="313"/>
      <c r="T19" s="97"/>
      <c r="U19" s="97"/>
    </row>
    <row r="20" spans="3:21" x14ac:dyDescent="0.25">
      <c r="C20" s="315" t="s">
        <v>190</v>
      </c>
      <c r="D20" s="315"/>
      <c r="E20" s="315"/>
      <c r="F20" s="315"/>
      <c r="G20" s="315"/>
      <c r="H20" s="315"/>
      <c r="I20" s="315"/>
      <c r="J20" s="315"/>
      <c r="K20" s="315"/>
      <c r="L20" s="315"/>
      <c r="M20" s="315"/>
      <c r="N20" s="315"/>
      <c r="O20" s="315"/>
      <c r="P20" s="315"/>
      <c r="Q20" s="315"/>
      <c r="R20" s="315"/>
      <c r="S20" s="315"/>
      <c r="T20" s="315"/>
      <c r="U20" s="315"/>
    </row>
    <row r="21" spans="3:21" x14ac:dyDescent="0.25">
      <c r="C21" s="98"/>
      <c r="D21" s="315" t="s">
        <v>191</v>
      </c>
      <c r="E21" s="315"/>
      <c r="F21" s="315"/>
      <c r="G21" s="315" t="s">
        <v>192</v>
      </c>
      <c r="H21" s="315"/>
      <c r="I21" s="315"/>
      <c r="J21" s="315"/>
      <c r="K21" s="315"/>
      <c r="L21" s="315"/>
      <c r="M21" s="315"/>
      <c r="N21" s="315"/>
      <c r="O21" s="315"/>
      <c r="P21" s="315"/>
      <c r="Q21" s="315"/>
      <c r="R21" s="315"/>
      <c r="S21" s="315"/>
      <c r="T21" s="315"/>
      <c r="U21" s="315"/>
    </row>
    <row r="22" spans="3:21" x14ac:dyDescent="0.25">
      <c r="C22" s="98"/>
      <c r="D22" s="315" t="s">
        <v>193</v>
      </c>
      <c r="E22" s="315"/>
      <c r="F22" s="315"/>
      <c r="G22" s="315" t="s">
        <v>194</v>
      </c>
      <c r="H22" s="315"/>
      <c r="I22" s="315"/>
      <c r="J22" s="315"/>
      <c r="K22" s="315"/>
      <c r="L22" s="315"/>
      <c r="M22" s="315"/>
      <c r="N22" s="315"/>
      <c r="O22" s="315"/>
      <c r="P22" s="315"/>
      <c r="Q22" s="315"/>
      <c r="R22" s="315"/>
      <c r="S22" s="315"/>
      <c r="T22" s="315"/>
      <c r="U22" s="315"/>
    </row>
    <row r="23" spans="3:21" x14ac:dyDescent="0.25">
      <c r="C23" s="98"/>
      <c r="D23" s="315" t="s">
        <v>195</v>
      </c>
      <c r="E23" s="315"/>
      <c r="F23" s="315"/>
      <c r="G23" s="315" t="s">
        <v>196</v>
      </c>
      <c r="H23" s="315"/>
      <c r="I23" s="315"/>
      <c r="J23" s="315"/>
      <c r="K23" s="315"/>
      <c r="L23" s="315"/>
      <c r="M23" s="315"/>
      <c r="N23" s="315"/>
      <c r="O23" s="315"/>
      <c r="P23" s="315"/>
      <c r="Q23" s="315"/>
      <c r="R23" s="315"/>
      <c r="S23" s="315"/>
      <c r="T23" s="315"/>
      <c r="U23" s="315"/>
    </row>
    <row r="24" spans="3:21" x14ac:dyDescent="0.25">
      <c r="C24" s="98"/>
      <c r="D24" s="97"/>
      <c r="E24" s="97"/>
      <c r="F24" s="97"/>
      <c r="G24" s="97"/>
      <c r="H24" s="97"/>
      <c r="I24" s="97"/>
      <c r="J24" s="97"/>
      <c r="K24" s="97"/>
      <c r="L24" s="97"/>
      <c r="M24" s="97"/>
      <c r="N24" s="97"/>
      <c r="O24" s="97"/>
      <c r="P24" s="97"/>
      <c r="Q24" s="97"/>
      <c r="R24" s="97"/>
      <c r="S24" s="97"/>
      <c r="T24" s="97"/>
      <c r="U24" s="97"/>
    </row>
    <row r="25" spans="3:21" x14ac:dyDescent="0.25">
      <c r="C25" s="315" t="s">
        <v>198</v>
      </c>
      <c r="D25" s="315"/>
      <c r="E25" s="315"/>
      <c r="F25" s="315"/>
      <c r="G25" s="315"/>
      <c r="H25" s="315"/>
      <c r="I25" s="315"/>
      <c r="J25" s="315"/>
      <c r="K25" s="315"/>
      <c r="L25" s="315"/>
      <c r="M25" s="315"/>
      <c r="N25" s="315"/>
      <c r="O25" s="315"/>
      <c r="P25" s="315"/>
      <c r="Q25" s="315"/>
      <c r="R25" s="315"/>
      <c r="S25" s="315"/>
      <c r="T25" s="315"/>
      <c r="U25" s="315"/>
    </row>
    <row r="26" spans="3:21" x14ac:dyDescent="0.25">
      <c r="C26" s="315"/>
      <c r="D26" s="315"/>
      <c r="E26" s="315"/>
      <c r="F26" s="315"/>
      <c r="G26" s="315"/>
      <c r="H26" s="315"/>
      <c r="I26" s="315"/>
      <c r="J26" s="315"/>
      <c r="K26" s="315"/>
      <c r="L26" s="315"/>
      <c r="M26" s="315"/>
      <c r="N26" s="315"/>
      <c r="O26" s="315"/>
      <c r="P26" s="315"/>
      <c r="Q26" s="315"/>
      <c r="R26" s="315"/>
      <c r="S26" s="315"/>
      <c r="T26" s="315"/>
      <c r="U26" s="315"/>
    </row>
    <row r="27" spans="3:21" x14ac:dyDescent="0.25">
      <c r="C27" s="98"/>
      <c r="D27" s="97"/>
      <c r="E27" s="97"/>
      <c r="F27" s="97"/>
      <c r="G27" s="97"/>
      <c r="H27" s="97"/>
      <c r="I27" s="97"/>
      <c r="J27" s="97"/>
      <c r="K27" s="97"/>
      <c r="L27" s="97"/>
      <c r="M27" s="97"/>
      <c r="N27" s="97"/>
      <c r="O27" s="97"/>
      <c r="P27" s="97"/>
      <c r="Q27" s="97"/>
      <c r="R27" s="97"/>
      <c r="S27" s="97"/>
      <c r="T27" s="97"/>
      <c r="U27" s="97"/>
    </row>
    <row r="28" spans="3:21" x14ac:dyDescent="0.25">
      <c r="C28" s="261" t="s">
        <v>197</v>
      </c>
      <c r="D28" s="261"/>
      <c r="E28" s="261"/>
      <c r="F28" s="261"/>
      <c r="G28" s="261"/>
      <c r="H28" s="261"/>
      <c r="I28" s="261"/>
      <c r="J28" s="261"/>
      <c r="K28" s="261"/>
      <c r="L28" s="261"/>
      <c r="M28" s="261"/>
      <c r="N28" s="261"/>
      <c r="O28" s="261"/>
      <c r="P28" s="261"/>
      <c r="Q28" s="261"/>
      <c r="R28" s="261"/>
      <c r="S28" s="261"/>
      <c r="T28" s="261"/>
      <c r="U28" s="261"/>
    </row>
    <row r="29" spans="3:21" x14ac:dyDescent="0.25">
      <c r="C29" s="261"/>
      <c r="D29" s="261"/>
      <c r="E29" s="261"/>
      <c r="F29" s="261"/>
      <c r="G29" s="261"/>
      <c r="H29" s="261"/>
      <c r="I29" s="261"/>
      <c r="J29" s="261"/>
      <c r="K29" s="261"/>
      <c r="L29" s="261"/>
      <c r="M29" s="261"/>
      <c r="N29" s="261"/>
      <c r="O29" s="261"/>
      <c r="P29" s="261"/>
      <c r="Q29" s="261"/>
      <c r="R29" s="261"/>
      <c r="S29" s="261"/>
      <c r="T29" s="261"/>
      <c r="U29" s="261"/>
    </row>
    <row r="30" spans="3:21" x14ac:dyDescent="0.25">
      <c r="E30" s="216"/>
      <c r="F30" s="216"/>
      <c r="G30" s="216"/>
      <c r="H30" s="216"/>
      <c r="I30" s="216"/>
      <c r="J30" s="216"/>
      <c r="K30" s="216"/>
      <c r="L30" s="216"/>
      <c r="M30" s="216"/>
      <c r="N30" s="216"/>
      <c r="O30" s="216"/>
      <c r="P30" s="216"/>
      <c r="Q30" s="216"/>
      <c r="R30" s="216"/>
      <c r="S30" s="216"/>
    </row>
    <row r="31" spans="3:21" x14ac:dyDescent="0.25">
      <c r="E31" s="216"/>
      <c r="F31" s="216"/>
      <c r="G31" s="216"/>
      <c r="H31" s="216"/>
      <c r="I31" s="216"/>
      <c r="J31" s="216"/>
      <c r="K31" s="216"/>
      <c r="L31" s="216"/>
      <c r="M31" s="216"/>
      <c r="N31" s="216"/>
      <c r="O31" s="216"/>
      <c r="P31" s="216"/>
      <c r="Q31" s="216"/>
      <c r="R31" s="216"/>
      <c r="S31" s="216"/>
    </row>
    <row r="32" spans="3:21" x14ac:dyDescent="0.25">
      <c r="E32" s="216"/>
      <c r="F32" s="216"/>
      <c r="G32" s="216"/>
      <c r="H32" s="216"/>
      <c r="I32" s="216"/>
      <c r="J32" s="216"/>
      <c r="K32" s="216"/>
      <c r="L32" s="216"/>
      <c r="M32" s="216"/>
      <c r="N32" s="216"/>
      <c r="O32" s="216"/>
      <c r="P32" s="216"/>
      <c r="Q32" s="216"/>
      <c r="R32" s="216"/>
      <c r="S32" s="216"/>
    </row>
    <row r="33" spans="5:19" x14ac:dyDescent="0.25">
      <c r="E33" s="216"/>
      <c r="F33" s="216"/>
      <c r="G33" s="216"/>
      <c r="H33" s="216"/>
      <c r="I33" s="216"/>
      <c r="J33" s="216"/>
      <c r="K33" s="216"/>
      <c r="L33" s="216"/>
      <c r="M33" s="216"/>
      <c r="N33" s="216"/>
      <c r="O33" s="216"/>
      <c r="P33" s="216"/>
      <c r="Q33" s="216"/>
      <c r="R33" s="216"/>
      <c r="S33" s="216"/>
    </row>
    <row r="34" spans="5:19" x14ac:dyDescent="0.25">
      <c r="E34" s="216"/>
      <c r="F34" s="216"/>
      <c r="G34" s="216"/>
      <c r="H34" s="216"/>
      <c r="I34" s="216"/>
      <c r="J34" s="216"/>
      <c r="K34" s="216"/>
      <c r="L34" s="216"/>
      <c r="M34" s="216"/>
      <c r="N34" s="216"/>
      <c r="O34" s="216"/>
      <c r="P34" s="216"/>
      <c r="Q34" s="216"/>
      <c r="R34" s="216"/>
      <c r="S34" s="216"/>
    </row>
    <row r="35" spans="5:19" x14ac:dyDescent="0.25">
      <c r="E35" s="216"/>
      <c r="F35" s="216"/>
      <c r="G35" s="216"/>
      <c r="H35" s="216"/>
      <c r="I35" s="216"/>
      <c r="J35" s="216"/>
      <c r="K35" s="216"/>
      <c r="L35" s="216"/>
      <c r="M35" s="216"/>
      <c r="N35" s="216"/>
      <c r="O35" s="216"/>
      <c r="P35" s="216"/>
      <c r="Q35" s="216"/>
      <c r="R35" s="216"/>
      <c r="S35" s="216"/>
    </row>
    <row r="36" spans="5:19" x14ac:dyDescent="0.25">
      <c r="E36" s="216"/>
      <c r="F36" s="216"/>
      <c r="G36" s="216"/>
      <c r="H36" s="216"/>
      <c r="I36" s="216"/>
      <c r="J36" s="216"/>
      <c r="K36" s="216"/>
      <c r="L36" s="216"/>
      <c r="M36" s="216"/>
      <c r="N36" s="216"/>
      <c r="O36" s="216"/>
      <c r="P36" s="216"/>
      <c r="Q36" s="216"/>
      <c r="R36" s="216"/>
      <c r="S36" s="216"/>
    </row>
    <row r="37" spans="5:19" x14ac:dyDescent="0.25">
      <c r="E37" s="216"/>
      <c r="F37" s="216"/>
      <c r="G37" s="216"/>
      <c r="H37" s="216"/>
      <c r="I37" s="216"/>
      <c r="J37" s="216"/>
      <c r="K37" s="216"/>
      <c r="L37" s="216"/>
      <c r="M37" s="216"/>
      <c r="N37" s="216"/>
      <c r="O37" s="216"/>
      <c r="P37" s="216"/>
      <c r="Q37" s="216"/>
      <c r="R37" s="216"/>
      <c r="S37" s="216"/>
    </row>
    <row r="38" spans="5:19" x14ac:dyDescent="0.25">
      <c r="E38" s="216"/>
      <c r="F38" s="216"/>
      <c r="G38" s="216"/>
      <c r="H38" s="216"/>
      <c r="I38" s="216"/>
      <c r="J38" s="216"/>
      <c r="K38" s="216"/>
      <c r="L38" s="216"/>
      <c r="M38" s="216"/>
      <c r="N38" s="216"/>
      <c r="O38" s="216"/>
      <c r="P38" s="216"/>
      <c r="Q38" s="216"/>
      <c r="R38" s="216"/>
      <c r="S38" s="216"/>
    </row>
    <row r="39" spans="5:19" x14ac:dyDescent="0.25">
      <c r="E39" s="216"/>
      <c r="F39" s="216"/>
      <c r="G39" s="216"/>
      <c r="H39" s="216"/>
      <c r="I39" s="216"/>
      <c r="J39" s="216"/>
      <c r="K39" s="216"/>
      <c r="L39" s="216"/>
      <c r="M39" s="216"/>
      <c r="N39" s="216"/>
      <c r="O39" s="216"/>
      <c r="P39" s="216"/>
      <c r="Q39" s="216"/>
      <c r="R39" s="216"/>
      <c r="S39" s="216"/>
    </row>
    <row r="40" spans="5:19" x14ac:dyDescent="0.25">
      <c r="E40" s="216"/>
      <c r="F40" s="216"/>
      <c r="G40" s="216"/>
      <c r="H40" s="216"/>
      <c r="I40" s="216"/>
      <c r="J40" s="216"/>
      <c r="K40" s="216"/>
      <c r="L40" s="216"/>
      <c r="M40" s="216"/>
      <c r="N40" s="216"/>
      <c r="O40" s="216"/>
      <c r="P40" s="216"/>
      <c r="Q40" s="216"/>
      <c r="R40" s="216"/>
      <c r="S40" s="216"/>
    </row>
    <row r="41" spans="5:19" x14ac:dyDescent="0.25">
      <c r="E41" s="216"/>
      <c r="F41" s="216"/>
      <c r="G41" s="216"/>
      <c r="H41" s="216"/>
      <c r="I41" s="216"/>
      <c r="J41" s="216"/>
      <c r="K41" s="216"/>
      <c r="L41" s="216"/>
      <c r="M41" s="216"/>
      <c r="N41" s="216"/>
      <c r="O41" s="216"/>
      <c r="P41" s="216"/>
      <c r="Q41" s="216"/>
      <c r="R41" s="216"/>
      <c r="S41" s="216"/>
    </row>
    <row r="42" spans="5:19" x14ac:dyDescent="0.25">
      <c r="E42" s="216"/>
      <c r="F42" s="216"/>
      <c r="G42" s="216"/>
      <c r="H42" s="216"/>
      <c r="I42" s="216"/>
      <c r="J42" s="216"/>
      <c r="K42" s="216"/>
      <c r="L42" s="216"/>
      <c r="M42" s="216"/>
      <c r="N42" s="216"/>
      <c r="O42" s="216"/>
      <c r="P42" s="216"/>
      <c r="Q42" s="216"/>
      <c r="R42" s="216"/>
      <c r="S42" s="216"/>
    </row>
    <row r="43" spans="5:19" x14ac:dyDescent="0.25">
      <c r="E43" s="216"/>
      <c r="F43" s="216"/>
      <c r="G43" s="216"/>
      <c r="H43" s="216"/>
      <c r="I43" s="216"/>
      <c r="J43" s="216"/>
      <c r="K43" s="216"/>
      <c r="L43" s="216"/>
      <c r="M43" s="216"/>
      <c r="N43" s="216"/>
      <c r="O43" s="216"/>
      <c r="P43" s="216"/>
      <c r="Q43" s="216"/>
      <c r="R43" s="216"/>
      <c r="S43" s="216"/>
    </row>
    <row r="44" spans="5:19" x14ac:dyDescent="0.25">
      <c r="E44" s="216"/>
      <c r="F44" s="216"/>
      <c r="G44" s="216"/>
      <c r="H44" s="216"/>
      <c r="I44" s="216"/>
      <c r="J44" s="216"/>
      <c r="K44" s="216"/>
      <c r="L44" s="216"/>
      <c r="M44" s="216"/>
      <c r="N44" s="216"/>
      <c r="O44" s="216"/>
      <c r="P44" s="216"/>
      <c r="Q44" s="216"/>
      <c r="R44" s="216"/>
      <c r="S44" s="216"/>
    </row>
    <row r="45" spans="5:19" x14ac:dyDescent="0.25">
      <c r="E45" s="216"/>
      <c r="F45" s="216"/>
      <c r="G45" s="216"/>
      <c r="H45" s="216"/>
      <c r="I45" s="216"/>
      <c r="J45" s="216"/>
      <c r="K45" s="216"/>
      <c r="L45" s="216"/>
      <c r="M45" s="216"/>
      <c r="N45" s="216"/>
      <c r="O45" s="216"/>
      <c r="P45" s="216"/>
      <c r="Q45" s="216"/>
      <c r="R45" s="216"/>
      <c r="S45" s="216"/>
    </row>
    <row r="46" spans="5:19" x14ac:dyDescent="0.25">
      <c r="E46" s="216"/>
      <c r="F46" s="216"/>
      <c r="G46" s="216"/>
      <c r="H46" s="216"/>
      <c r="I46" s="216"/>
      <c r="J46" s="216"/>
      <c r="K46" s="216"/>
      <c r="L46" s="216"/>
      <c r="M46" s="216"/>
      <c r="N46" s="216"/>
      <c r="O46" s="216"/>
      <c r="P46" s="216"/>
      <c r="Q46" s="216"/>
      <c r="R46" s="216"/>
      <c r="S46" s="216"/>
    </row>
    <row r="47" spans="5:19" x14ac:dyDescent="0.25">
      <c r="H47" s="1"/>
      <c r="I47" s="1"/>
      <c r="J47" s="1"/>
      <c r="K47" s="1"/>
      <c r="L47" s="1"/>
      <c r="M47" s="1"/>
      <c r="N47" s="1"/>
      <c r="O47" s="1"/>
      <c r="P47" s="1"/>
    </row>
    <row r="48" spans="5:19" x14ac:dyDescent="0.25">
      <c r="F48" s="230" t="s">
        <v>199</v>
      </c>
      <c r="G48" s="249"/>
      <c r="H48" s="249"/>
      <c r="I48" s="249"/>
      <c r="J48" s="249"/>
      <c r="K48" s="249"/>
      <c r="L48" s="249"/>
      <c r="M48" s="249"/>
      <c r="N48" s="249"/>
      <c r="O48" s="249"/>
      <c r="P48" s="249"/>
      <c r="Q48" s="249"/>
      <c r="R48" s="249"/>
    </row>
    <row r="49" spans="6:18" x14ac:dyDescent="0.25">
      <c r="F49" s="249"/>
      <c r="G49" s="249"/>
      <c r="H49" s="249"/>
      <c r="I49" s="249"/>
      <c r="J49" s="249"/>
      <c r="K49" s="249"/>
      <c r="L49" s="249"/>
      <c r="M49" s="249"/>
      <c r="N49" s="249"/>
      <c r="O49" s="249"/>
      <c r="P49" s="249"/>
      <c r="Q49" s="249"/>
      <c r="R49" s="249"/>
    </row>
    <row r="50" spans="6:18" x14ac:dyDescent="0.25">
      <c r="H50" s="1"/>
      <c r="I50" s="1"/>
      <c r="J50" s="1"/>
      <c r="K50" s="1"/>
      <c r="L50" s="1"/>
      <c r="M50" s="1"/>
      <c r="N50" s="1"/>
      <c r="O50" s="1"/>
      <c r="P50" s="1"/>
    </row>
    <row r="51" spans="6:18" x14ac:dyDescent="0.25">
      <c r="G51" s="261" t="s">
        <v>200</v>
      </c>
      <c r="H51" s="261"/>
      <c r="I51" s="261"/>
      <c r="J51" s="261"/>
      <c r="K51" s="261"/>
      <c r="L51" s="261"/>
      <c r="M51" s="1"/>
      <c r="N51" s="316">
        <v>25</v>
      </c>
      <c r="O51" s="316"/>
      <c r="P51" s="1"/>
    </row>
    <row r="52" spans="6:18" x14ac:dyDescent="0.25">
      <c r="G52" s="261" t="s">
        <v>201</v>
      </c>
      <c r="H52" s="261"/>
      <c r="I52" s="261"/>
      <c r="J52" s="261"/>
      <c r="K52" s="261"/>
      <c r="L52" s="261"/>
      <c r="M52" s="1"/>
      <c r="N52" s="316">
        <v>15</v>
      </c>
      <c r="O52" s="316"/>
      <c r="P52" s="1"/>
    </row>
    <row r="53" spans="6:18" x14ac:dyDescent="0.25">
      <c r="G53" s="261" t="s">
        <v>202</v>
      </c>
      <c r="H53" s="261"/>
      <c r="I53" s="261"/>
      <c r="J53" s="261"/>
      <c r="K53" s="261"/>
      <c r="L53" s="261"/>
      <c r="M53" s="1"/>
      <c r="N53" s="316">
        <v>50</v>
      </c>
      <c r="O53" s="316"/>
    </row>
    <row r="54" spans="6:18" x14ac:dyDescent="0.25">
      <c r="G54" s="317" t="s">
        <v>203</v>
      </c>
      <c r="H54" s="317"/>
      <c r="I54" s="317"/>
      <c r="J54" s="317"/>
      <c r="K54" s="317"/>
      <c r="L54" s="317"/>
      <c r="N54" s="318">
        <f>IF(N53&lt;=2*N52,MIN(0.8*N52,0.6*N51),IF(AND(N53&gt;2*N52,N53&lt;6*N52),MIN((1.2*N52-0.2*N53),0.6*N51),IF(N53&gt;=6*N52,0,"?")))</f>
        <v>8</v>
      </c>
      <c r="O54" s="318"/>
    </row>
  </sheetData>
  <sheetProtection algorithmName="SHA-512" hashValue="DgSyILg7rtvRg9AOae+bNSqLrWRpzrlGozMIQfQYYQ/Fh95CW+DqeQIOD0UPIMXaY3TAmkKk1oV8btEdNTJouQ==" saltValue="G90slegpAlw19ytnn+HUlQ==" spinCount="100000" sheet="1" objects="1" scenarios="1"/>
  <mergeCells count="23">
    <mergeCell ref="G52:L52"/>
    <mergeCell ref="N52:O52"/>
    <mergeCell ref="G53:L53"/>
    <mergeCell ref="N53:O53"/>
    <mergeCell ref="G54:L54"/>
    <mergeCell ref="N54:O54"/>
    <mergeCell ref="C28:U29"/>
    <mergeCell ref="E30:S46"/>
    <mergeCell ref="C25:U26"/>
    <mergeCell ref="F48:R49"/>
    <mergeCell ref="G51:L51"/>
    <mergeCell ref="N51:O51"/>
    <mergeCell ref="D23:F23"/>
    <mergeCell ref="G23:U23"/>
    <mergeCell ref="B2:V3"/>
    <mergeCell ref="C5:U8"/>
    <mergeCell ref="E9:I19"/>
    <mergeCell ref="J9:S19"/>
    <mergeCell ref="C20:U20"/>
    <mergeCell ref="D21:F21"/>
    <mergeCell ref="G21:U21"/>
    <mergeCell ref="D22:F22"/>
    <mergeCell ref="G22:U22"/>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V13"/>
  <sheetViews>
    <sheetView workbookViewId="0">
      <selection activeCell="B2" sqref="B2:V5"/>
    </sheetView>
  </sheetViews>
  <sheetFormatPr defaultRowHeight="15" x14ac:dyDescent="0.25"/>
  <sheetData>
    <row r="2" spans="2:22" x14ac:dyDescent="0.25">
      <c r="B2" s="240"/>
      <c r="C2" s="240"/>
      <c r="D2" s="240"/>
      <c r="E2" s="240"/>
      <c r="F2" s="240"/>
      <c r="G2" s="240"/>
      <c r="H2" s="240"/>
      <c r="I2" s="240"/>
      <c r="J2" s="240"/>
      <c r="K2" s="240"/>
      <c r="L2" s="240"/>
      <c r="M2" s="240"/>
      <c r="N2" s="240"/>
      <c r="O2" s="240"/>
      <c r="P2" s="240"/>
      <c r="Q2" s="240"/>
      <c r="R2" s="240"/>
      <c r="S2" s="240"/>
      <c r="T2" s="240"/>
      <c r="U2" s="240"/>
      <c r="V2" s="240"/>
    </row>
    <row r="3" spans="2:22" x14ac:dyDescent="0.25">
      <c r="B3" s="240"/>
      <c r="C3" s="240"/>
      <c r="D3" s="240"/>
      <c r="E3" s="240"/>
      <c r="F3" s="240"/>
      <c r="G3" s="240"/>
      <c r="H3" s="240"/>
      <c r="I3" s="240"/>
      <c r="J3" s="240"/>
      <c r="K3" s="240"/>
      <c r="L3" s="240"/>
      <c r="M3" s="240"/>
      <c r="N3" s="240"/>
      <c r="O3" s="240"/>
      <c r="P3" s="240"/>
      <c r="Q3" s="240"/>
      <c r="R3" s="240"/>
      <c r="S3" s="240"/>
      <c r="T3" s="240"/>
      <c r="U3" s="240"/>
      <c r="V3" s="240"/>
    </row>
    <row r="4" spans="2:22" x14ac:dyDescent="0.25">
      <c r="B4" s="240"/>
      <c r="C4" s="240"/>
      <c r="D4" s="240"/>
      <c r="E4" s="240"/>
      <c r="F4" s="240"/>
      <c r="G4" s="240"/>
      <c r="H4" s="240"/>
      <c r="I4" s="240"/>
      <c r="J4" s="240"/>
      <c r="K4" s="240"/>
      <c r="L4" s="240"/>
      <c r="M4" s="240"/>
      <c r="N4" s="240"/>
      <c r="O4" s="240"/>
      <c r="P4" s="240"/>
      <c r="Q4" s="240"/>
      <c r="R4" s="240"/>
      <c r="S4" s="240"/>
      <c r="T4" s="240"/>
      <c r="U4" s="240"/>
      <c r="V4" s="240"/>
    </row>
    <row r="5" spans="2:22" x14ac:dyDescent="0.25">
      <c r="B5" s="240"/>
      <c r="C5" s="240"/>
      <c r="D5" s="240"/>
      <c r="E5" s="240"/>
      <c r="F5" s="240"/>
      <c r="G5" s="240"/>
      <c r="H5" s="240"/>
      <c r="I5" s="240"/>
      <c r="J5" s="240"/>
      <c r="K5" s="240"/>
      <c r="L5" s="240"/>
      <c r="M5" s="240"/>
      <c r="N5" s="240"/>
      <c r="O5" s="240"/>
      <c r="P5" s="240"/>
      <c r="Q5" s="240"/>
      <c r="R5" s="240"/>
      <c r="S5" s="240"/>
      <c r="T5" s="240"/>
      <c r="U5" s="240"/>
      <c r="V5" s="240"/>
    </row>
    <row r="6" spans="2:22" x14ac:dyDescent="0.25">
      <c r="B6" s="240"/>
      <c r="C6" s="240"/>
      <c r="D6" s="240"/>
      <c r="E6" s="240"/>
      <c r="F6" s="240"/>
      <c r="G6" s="240"/>
      <c r="H6" s="240"/>
      <c r="I6" s="240"/>
      <c r="J6" s="240"/>
      <c r="K6" s="240"/>
      <c r="L6" s="240"/>
      <c r="M6" s="240"/>
      <c r="N6" s="240"/>
      <c r="O6" s="240"/>
      <c r="P6" s="240"/>
      <c r="Q6" s="240"/>
      <c r="R6" s="240"/>
      <c r="S6" s="240"/>
      <c r="T6" s="240"/>
      <c r="U6" s="240"/>
      <c r="V6" s="240"/>
    </row>
    <row r="7" spans="2:22" x14ac:dyDescent="0.25">
      <c r="B7" s="240"/>
      <c r="C7" s="240"/>
      <c r="D7" s="240"/>
      <c r="E7" s="240"/>
      <c r="F7" s="240"/>
      <c r="G7" s="240"/>
      <c r="H7" s="240"/>
      <c r="I7" s="240"/>
      <c r="J7" s="240"/>
      <c r="K7" s="240"/>
      <c r="L7" s="240"/>
      <c r="M7" s="240"/>
      <c r="N7" s="240"/>
      <c r="O7" s="240"/>
      <c r="P7" s="240"/>
      <c r="Q7" s="240"/>
      <c r="R7" s="240"/>
      <c r="S7" s="240"/>
      <c r="T7" s="240"/>
      <c r="U7" s="240"/>
      <c r="V7" s="240"/>
    </row>
    <row r="8" spans="2:22" x14ac:dyDescent="0.25">
      <c r="B8" s="240"/>
      <c r="C8" s="240"/>
      <c r="D8" s="240"/>
      <c r="E8" s="240"/>
      <c r="F8" s="240"/>
      <c r="G8" s="240"/>
      <c r="H8" s="240"/>
      <c r="I8" s="240"/>
      <c r="J8" s="240"/>
      <c r="K8" s="240"/>
      <c r="L8" s="240"/>
      <c r="M8" s="240"/>
      <c r="N8" s="240"/>
      <c r="O8" s="240"/>
      <c r="P8" s="240"/>
      <c r="Q8" s="240"/>
      <c r="R8" s="240"/>
      <c r="S8" s="240"/>
      <c r="T8" s="240"/>
      <c r="U8" s="240"/>
      <c r="V8" s="240"/>
    </row>
    <row r="9" spans="2:22" x14ac:dyDescent="0.25">
      <c r="B9" s="240"/>
      <c r="C9" s="240"/>
      <c r="D9" s="240"/>
      <c r="E9" s="240"/>
      <c r="F9" s="240"/>
      <c r="G9" s="240"/>
      <c r="H9" s="240"/>
      <c r="I9" s="240"/>
      <c r="J9" s="240"/>
      <c r="K9" s="240"/>
      <c r="L9" s="240"/>
      <c r="M9" s="240"/>
      <c r="N9" s="240"/>
      <c r="O9" s="240"/>
      <c r="P9" s="240"/>
      <c r="Q9" s="240"/>
      <c r="R9" s="240"/>
      <c r="S9" s="240"/>
      <c r="T9" s="240"/>
      <c r="U9" s="240"/>
      <c r="V9" s="240"/>
    </row>
    <row r="10" spans="2:22" x14ac:dyDescent="0.25">
      <c r="B10" s="240"/>
      <c r="C10" s="240"/>
      <c r="D10" s="240"/>
      <c r="E10" s="240"/>
      <c r="F10" s="240"/>
      <c r="G10" s="240"/>
      <c r="H10" s="240"/>
      <c r="I10" s="240"/>
      <c r="J10" s="240"/>
      <c r="K10" s="240"/>
      <c r="L10" s="240"/>
      <c r="M10" s="240"/>
      <c r="N10" s="240"/>
      <c r="O10" s="240"/>
      <c r="P10" s="240"/>
      <c r="Q10" s="240"/>
      <c r="R10" s="240"/>
      <c r="S10" s="240"/>
      <c r="T10" s="240"/>
      <c r="U10" s="240"/>
      <c r="V10" s="240"/>
    </row>
    <row r="11" spans="2:22" x14ac:dyDescent="0.25">
      <c r="B11" s="240"/>
      <c r="C11" s="240"/>
      <c r="D11" s="240"/>
      <c r="E11" s="240"/>
      <c r="F11" s="240"/>
      <c r="G11" s="240"/>
      <c r="H11" s="240"/>
      <c r="I11" s="240"/>
      <c r="J11" s="240"/>
      <c r="K11" s="240"/>
      <c r="L11" s="240"/>
      <c r="M11" s="240"/>
      <c r="N11" s="240"/>
      <c r="O11" s="240"/>
      <c r="P11" s="240"/>
      <c r="Q11" s="240"/>
      <c r="R11" s="240"/>
      <c r="S11" s="240"/>
      <c r="T11" s="240"/>
      <c r="U11" s="240"/>
      <c r="V11" s="240"/>
    </row>
    <row r="12" spans="2:22" x14ac:dyDescent="0.25">
      <c r="B12" s="240"/>
      <c r="C12" s="240"/>
      <c r="D12" s="240"/>
      <c r="E12" s="240"/>
      <c r="F12" s="240"/>
      <c r="G12" s="240"/>
      <c r="H12" s="240"/>
      <c r="I12" s="240"/>
      <c r="J12" s="240"/>
      <c r="K12" s="240"/>
      <c r="L12" s="240"/>
      <c r="M12" s="240"/>
      <c r="N12" s="240"/>
      <c r="O12" s="240"/>
      <c r="P12" s="240"/>
      <c r="Q12" s="240"/>
      <c r="R12" s="240"/>
      <c r="S12" s="240"/>
      <c r="T12" s="240"/>
      <c r="U12" s="240"/>
      <c r="V12" s="240"/>
    </row>
    <row r="13" spans="2:22" x14ac:dyDescent="0.25">
      <c r="B13" s="240"/>
      <c r="C13" s="240"/>
      <c r="D13" s="240"/>
      <c r="E13" s="240"/>
      <c r="F13" s="240"/>
      <c r="G13" s="240"/>
      <c r="H13" s="240"/>
      <c r="I13" s="240"/>
      <c r="J13" s="240"/>
      <c r="K13" s="240"/>
      <c r="L13" s="240"/>
      <c r="M13" s="240"/>
      <c r="N13" s="240"/>
      <c r="O13" s="240"/>
      <c r="P13" s="240"/>
      <c r="Q13" s="240"/>
      <c r="R13" s="240"/>
      <c r="S13" s="240"/>
      <c r="T13" s="240"/>
      <c r="U13" s="240"/>
      <c r="V13" s="240"/>
    </row>
  </sheetData>
  <mergeCells count="3">
    <mergeCell ref="B2:V5"/>
    <mergeCell ref="B6:V9"/>
    <mergeCell ref="B10:V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T160"/>
  <sheetViews>
    <sheetView workbookViewId="0">
      <selection activeCell="B2" sqref="B2:G3"/>
    </sheetView>
  </sheetViews>
  <sheetFormatPr defaultRowHeight="15" x14ac:dyDescent="0.25"/>
  <cols>
    <col min="2" max="2" width="63.28515625" customWidth="1"/>
    <col min="3" max="20" width="27.42578125" customWidth="1"/>
  </cols>
  <sheetData>
    <row r="2" spans="2:20" x14ac:dyDescent="0.25">
      <c r="B2" s="226" t="s">
        <v>318</v>
      </c>
      <c r="C2" s="226"/>
      <c r="D2" s="226"/>
      <c r="E2" s="226"/>
      <c r="F2" s="226"/>
      <c r="G2" s="226"/>
    </row>
    <row r="3" spans="2:20" x14ac:dyDescent="0.25">
      <c r="B3" s="226"/>
      <c r="C3" s="226"/>
      <c r="D3" s="226"/>
      <c r="E3" s="226"/>
      <c r="F3" s="226"/>
      <c r="G3" s="226"/>
    </row>
    <row r="4" spans="2:20" x14ac:dyDescent="0.25">
      <c r="B4" s="30"/>
    </row>
    <row r="5" spans="2:20" x14ac:dyDescent="0.25">
      <c r="B5" t="s">
        <v>40</v>
      </c>
      <c r="C5" s="65" t="s">
        <v>88</v>
      </c>
      <c r="D5" s="157">
        <v>1</v>
      </c>
      <c r="E5" s="157">
        <v>2</v>
      </c>
      <c r="F5" s="157">
        <v>3</v>
      </c>
      <c r="G5" s="157">
        <v>4</v>
      </c>
      <c r="H5" s="157">
        <v>5</v>
      </c>
      <c r="I5" s="157">
        <v>6</v>
      </c>
      <c r="J5" s="157">
        <v>7</v>
      </c>
      <c r="K5" s="157">
        <v>8</v>
      </c>
      <c r="L5" s="157">
        <v>9</v>
      </c>
      <c r="M5" s="157">
        <v>10</v>
      </c>
      <c r="N5" s="157">
        <v>11</v>
      </c>
      <c r="O5" s="157">
        <v>12</v>
      </c>
      <c r="P5" s="157">
        <v>13</v>
      </c>
      <c r="Q5" s="157">
        <v>14</v>
      </c>
      <c r="R5" s="157">
        <v>15</v>
      </c>
      <c r="S5" s="157">
        <v>16</v>
      </c>
      <c r="T5" s="157">
        <v>17</v>
      </c>
    </row>
    <row r="6" spans="2:20" s="1" customFormat="1" ht="84.95" customHeight="1" x14ac:dyDescent="0.25">
      <c r="B6" s="1" t="s">
        <v>0</v>
      </c>
      <c r="C6" s="51" t="s">
        <v>88</v>
      </c>
      <c r="E6" s="175" t="s">
        <v>295</v>
      </c>
      <c r="G6" s="175" t="s">
        <v>296</v>
      </c>
      <c r="I6" s="175" t="s">
        <v>297</v>
      </c>
      <c r="K6" s="175" t="s">
        <v>298</v>
      </c>
      <c r="N6" s="175" t="s">
        <v>299</v>
      </c>
      <c r="O6" s="175" t="s">
        <v>300</v>
      </c>
      <c r="R6" s="175" t="s">
        <v>301</v>
      </c>
      <c r="T6" s="127" t="s">
        <v>244</v>
      </c>
    </row>
    <row r="7" spans="2:20" x14ac:dyDescent="0.25">
      <c r="B7" s="1" t="s">
        <v>1</v>
      </c>
      <c r="T7" s="41"/>
    </row>
    <row r="8" spans="2:20" x14ac:dyDescent="0.25">
      <c r="B8" s="3" t="s">
        <v>2</v>
      </c>
      <c r="C8" s="195">
        <v>1</v>
      </c>
      <c r="D8" s="34">
        <f>C8</f>
        <v>1</v>
      </c>
      <c r="E8" s="34">
        <f>C8</f>
        <v>1</v>
      </c>
      <c r="F8" s="34">
        <f>C8</f>
        <v>1</v>
      </c>
      <c r="G8" s="34">
        <f>C8</f>
        <v>1</v>
      </c>
      <c r="H8" s="34">
        <f>C8</f>
        <v>1</v>
      </c>
      <c r="I8" s="34">
        <f>C8</f>
        <v>1</v>
      </c>
      <c r="J8" s="34">
        <f>C8</f>
        <v>1</v>
      </c>
      <c r="K8" s="34">
        <f>C8</f>
        <v>1</v>
      </c>
      <c r="L8" s="34">
        <f>C8</f>
        <v>1</v>
      </c>
      <c r="M8" s="34">
        <f>C8</f>
        <v>1</v>
      </c>
      <c r="N8" s="34">
        <f>C8</f>
        <v>1</v>
      </c>
      <c r="O8" s="34">
        <f>C8</f>
        <v>1</v>
      </c>
      <c r="P8" s="34">
        <f>C8</f>
        <v>1</v>
      </c>
      <c r="Q8" s="34">
        <f>C8</f>
        <v>1</v>
      </c>
      <c r="R8" s="35">
        <f>C8</f>
        <v>1</v>
      </c>
      <c r="S8" s="35">
        <f>C8</f>
        <v>1</v>
      </c>
      <c r="T8" s="36">
        <f>C8</f>
        <v>1</v>
      </c>
    </row>
    <row r="9" spans="2:20" x14ac:dyDescent="0.25">
      <c r="B9" s="3" t="s">
        <v>3</v>
      </c>
      <c r="C9" s="195">
        <v>0.5</v>
      </c>
      <c r="D9" s="34">
        <f>C9</f>
        <v>0.5</v>
      </c>
      <c r="E9" s="34">
        <f>C9</f>
        <v>0.5</v>
      </c>
      <c r="F9" s="34">
        <f>C9</f>
        <v>0.5</v>
      </c>
      <c r="G9" s="34">
        <f>C9</f>
        <v>0.5</v>
      </c>
      <c r="H9" s="34">
        <f>C9</f>
        <v>0.5</v>
      </c>
      <c r="I9" s="34">
        <f>C9</f>
        <v>0.5</v>
      </c>
      <c r="J9" s="34">
        <f>C9</f>
        <v>0.5</v>
      </c>
      <c r="K9" s="34">
        <f>C9</f>
        <v>0.5</v>
      </c>
      <c r="L9" s="34">
        <f>C9</f>
        <v>0.5</v>
      </c>
      <c r="M9" s="34">
        <f>C9</f>
        <v>0.5</v>
      </c>
      <c r="N9" s="34">
        <f>C9</f>
        <v>0.5</v>
      </c>
      <c r="O9" s="34">
        <f>C9</f>
        <v>0.5</v>
      </c>
      <c r="P9" s="34">
        <f>C9</f>
        <v>0.5</v>
      </c>
      <c r="Q9" s="34">
        <f>C9</f>
        <v>0.5</v>
      </c>
      <c r="R9" s="35">
        <f>C9</f>
        <v>0.5</v>
      </c>
      <c r="S9" s="35">
        <f>C9</f>
        <v>0.5</v>
      </c>
      <c r="T9" s="36">
        <f>C9</f>
        <v>0.5</v>
      </c>
    </row>
    <row r="10" spans="2:20" x14ac:dyDescent="0.25">
      <c r="B10" s="3" t="s">
        <v>4</v>
      </c>
      <c r="C10" s="51" t="s">
        <v>88</v>
      </c>
      <c r="D10" s="33">
        <f>D11+D12</f>
        <v>2</v>
      </c>
      <c r="E10" s="33">
        <f t="shared" ref="E10:S10" si="0">E11+E12</f>
        <v>2.5</v>
      </c>
      <c r="F10" s="33">
        <f t="shared" si="0"/>
        <v>3</v>
      </c>
      <c r="G10" s="33">
        <f t="shared" si="0"/>
        <v>3.5</v>
      </c>
      <c r="H10" s="33">
        <f t="shared" si="0"/>
        <v>4</v>
      </c>
      <c r="I10" s="33">
        <f t="shared" si="0"/>
        <v>4.5</v>
      </c>
      <c r="J10" s="33">
        <f t="shared" si="0"/>
        <v>5</v>
      </c>
      <c r="K10" s="33">
        <f t="shared" si="0"/>
        <v>5.5</v>
      </c>
      <c r="L10" s="33">
        <f t="shared" si="0"/>
        <v>6</v>
      </c>
      <c r="M10" s="33">
        <f t="shared" si="0"/>
        <v>6</v>
      </c>
      <c r="N10" s="33">
        <f t="shared" si="0"/>
        <v>6.5</v>
      </c>
      <c r="O10" s="33">
        <f t="shared" si="0"/>
        <v>6.5</v>
      </c>
      <c r="P10" s="33">
        <f t="shared" si="0"/>
        <v>7</v>
      </c>
      <c r="Q10" s="33">
        <f t="shared" si="0"/>
        <v>7</v>
      </c>
      <c r="R10" s="33">
        <f t="shared" si="0"/>
        <v>7.5</v>
      </c>
      <c r="S10" s="33">
        <f t="shared" si="0"/>
        <v>8</v>
      </c>
      <c r="T10" s="36">
        <f>T11+T12</f>
        <v>5</v>
      </c>
    </row>
    <row r="11" spans="2:20" x14ac:dyDescent="0.25">
      <c r="B11" s="3" t="s">
        <v>242</v>
      </c>
      <c r="C11" s="51" t="s">
        <v>88</v>
      </c>
      <c r="D11" s="33">
        <v>0</v>
      </c>
      <c r="E11" s="33">
        <v>0.5</v>
      </c>
      <c r="F11" s="33">
        <v>1</v>
      </c>
      <c r="G11" s="33">
        <v>1.5</v>
      </c>
      <c r="H11" s="33">
        <v>2</v>
      </c>
      <c r="I11" s="33">
        <v>2.5</v>
      </c>
      <c r="J11" s="33">
        <v>3</v>
      </c>
      <c r="K11" s="33">
        <v>3.5</v>
      </c>
      <c r="L11" s="33">
        <v>4</v>
      </c>
      <c r="M11" s="33">
        <v>3</v>
      </c>
      <c r="N11" s="33">
        <v>4.5</v>
      </c>
      <c r="O11" s="33">
        <v>3.5</v>
      </c>
      <c r="P11" s="33">
        <v>5</v>
      </c>
      <c r="Q11" s="33">
        <v>4</v>
      </c>
      <c r="R11" s="33">
        <v>4.5</v>
      </c>
      <c r="S11" s="33">
        <v>5</v>
      </c>
      <c r="T11" s="198">
        <v>2</v>
      </c>
    </row>
    <row r="12" spans="2:20" x14ac:dyDescent="0.25">
      <c r="B12" s="3" t="s">
        <v>243</v>
      </c>
      <c r="C12" s="51" t="s">
        <v>88</v>
      </c>
      <c r="D12" s="33">
        <v>2</v>
      </c>
      <c r="E12" s="33">
        <v>2</v>
      </c>
      <c r="F12" s="33">
        <v>2</v>
      </c>
      <c r="G12" s="33">
        <v>2</v>
      </c>
      <c r="H12" s="33">
        <v>2</v>
      </c>
      <c r="I12" s="33">
        <v>2</v>
      </c>
      <c r="J12" s="33">
        <v>2</v>
      </c>
      <c r="K12" s="33">
        <v>2</v>
      </c>
      <c r="L12" s="33">
        <v>2</v>
      </c>
      <c r="M12" s="33">
        <v>3</v>
      </c>
      <c r="N12" s="33">
        <v>2</v>
      </c>
      <c r="O12" s="33">
        <v>3</v>
      </c>
      <c r="P12" s="33">
        <v>2</v>
      </c>
      <c r="Q12" s="33">
        <v>3</v>
      </c>
      <c r="R12" s="33">
        <v>3</v>
      </c>
      <c r="S12" s="33">
        <v>3</v>
      </c>
      <c r="T12" s="198">
        <v>3</v>
      </c>
    </row>
    <row r="13" spans="2:20" x14ac:dyDescent="0.25">
      <c r="B13" s="3" t="s">
        <v>212</v>
      </c>
      <c r="C13" s="51" t="s">
        <v>88</v>
      </c>
      <c r="D13" s="117">
        <f t="shared" ref="D13:T13" si="1">D10/(D8*D9)</f>
        <v>4</v>
      </c>
      <c r="E13" s="118">
        <f t="shared" si="1"/>
        <v>5</v>
      </c>
      <c r="F13" s="118">
        <f t="shared" si="1"/>
        <v>6</v>
      </c>
      <c r="G13" s="118">
        <f t="shared" si="1"/>
        <v>7</v>
      </c>
      <c r="H13" s="118">
        <f t="shared" si="1"/>
        <v>8</v>
      </c>
      <c r="I13" s="118">
        <f t="shared" si="1"/>
        <v>9</v>
      </c>
      <c r="J13" s="118">
        <f t="shared" si="1"/>
        <v>10</v>
      </c>
      <c r="K13" s="118">
        <f t="shared" si="1"/>
        <v>11</v>
      </c>
      <c r="L13" s="118">
        <f t="shared" si="1"/>
        <v>12</v>
      </c>
      <c r="M13" s="118">
        <f t="shared" si="1"/>
        <v>12</v>
      </c>
      <c r="N13" s="118">
        <f t="shared" si="1"/>
        <v>13</v>
      </c>
      <c r="O13" s="118">
        <f t="shared" si="1"/>
        <v>13</v>
      </c>
      <c r="P13" s="118">
        <f t="shared" si="1"/>
        <v>14</v>
      </c>
      <c r="Q13" s="118">
        <f t="shared" si="1"/>
        <v>14</v>
      </c>
      <c r="R13" s="118">
        <f t="shared" si="1"/>
        <v>15</v>
      </c>
      <c r="S13" s="118">
        <f t="shared" si="1"/>
        <v>16</v>
      </c>
      <c r="T13" s="118">
        <f t="shared" si="1"/>
        <v>10</v>
      </c>
    </row>
    <row r="14" spans="2:20" x14ac:dyDescent="0.25">
      <c r="B14" s="3" t="s">
        <v>278</v>
      </c>
      <c r="C14" s="51" t="s">
        <v>88</v>
      </c>
      <c r="D14" s="33">
        <f t="shared" ref="D14:T14" si="2">D11/(D8*D9)</f>
        <v>0</v>
      </c>
      <c r="E14" s="33">
        <f t="shared" si="2"/>
        <v>1</v>
      </c>
      <c r="F14" s="33">
        <f t="shared" si="2"/>
        <v>2</v>
      </c>
      <c r="G14" s="33">
        <f t="shared" si="2"/>
        <v>3</v>
      </c>
      <c r="H14" s="33">
        <f t="shared" si="2"/>
        <v>4</v>
      </c>
      <c r="I14" s="33">
        <f t="shared" si="2"/>
        <v>5</v>
      </c>
      <c r="J14" s="33">
        <f t="shared" si="2"/>
        <v>6</v>
      </c>
      <c r="K14" s="33">
        <f t="shared" si="2"/>
        <v>7</v>
      </c>
      <c r="L14" s="33">
        <f t="shared" si="2"/>
        <v>8</v>
      </c>
      <c r="M14" s="33">
        <f t="shared" si="2"/>
        <v>6</v>
      </c>
      <c r="N14" s="33">
        <f t="shared" si="2"/>
        <v>9</v>
      </c>
      <c r="O14" s="33">
        <f t="shared" si="2"/>
        <v>7</v>
      </c>
      <c r="P14" s="33">
        <f t="shared" si="2"/>
        <v>10</v>
      </c>
      <c r="Q14" s="33">
        <f t="shared" si="2"/>
        <v>8</v>
      </c>
      <c r="R14" s="33">
        <f t="shared" si="2"/>
        <v>9</v>
      </c>
      <c r="S14" s="33">
        <f t="shared" si="2"/>
        <v>10</v>
      </c>
      <c r="T14" s="33">
        <f t="shared" si="2"/>
        <v>4</v>
      </c>
    </row>
    <row r="15" spans="2:20" x14ac:dyDescent="0.25">
      <c r="B15" s="3" t="s">
        <v>279</v>
      </c>
      <c r="C15" s="51" t="s">
        <v>88</v>
      </c>
      <c r="D15" s="33">
        <f t="shared" ref="D15:T15" si="3">D12/(D8*D9)</f>
        <v>4</v>
      </c>
      <c r="E15" s="33">
        <f t="shared" si="3"/>
        <v>4</v>
      </c>
      <c r="F15" s="33">
        <f t="shared" si="3"/>
        <v>4</v>
      </c>
      <c r="G15" s="33">
        <f t="shared" si="3"/>
        <v>4</v>
      </c>
      <c r="H15" s="33">
        <f t="shared" si="3"/>
        <v>4</v>
      </c>
      <c r="I15" s="33">
        <f t="shared" si="3"/>
        <v>4</v>
      </c>
      <c r="J15" s="33">
        <f t="shared" si="3"/>
        <v>4</v>
      </c>
      <c r="K15" s="33">
        <f t="shared" si="3"/>
        <v>4</v>
      </c>
      <c r="L15" s="33">
        <f t="shared" si="3"/>
        <v>4</v>
      </c>
      <c r="M15" s="33">
        <f t="shared" si="3"/>
        <v>6</v>
      </c>
      <c r="N15" s="33">
        <f t="shared" si="3"/>
        <v>4</v>
      </c>
      <c r="O15" s="33">
        <f t="shared" si="3"/>
        <v>6</v>
      </c>
      <c r="P15" s="33">
        <f t="shared" si="3"/>
        <v>4</v>
      </c>
      <c r="Q15" s="33">
        <f t="shared" si="3"/>
        <v>6</v>
      </c>
      <c r="R15" s="33">
        <f t="shared" si="3"/>
        <v>6</v>
      </c>
      <c r="S15" s="33">
        <f t="shared" si="3"/>
        <v>6</v>
      </c>
      <c r="T15" s="33">
        <f t="shared" si="3"/>
        <v>6</v>
      </c>
    </row>
    <row r="16" spans="2:20" x14ac:dyDescent="0.25">
      <c r="B16" s="3"/>
      <c r="C16" s="51"/>
      <c r="D16" s="33"/>
      <c r="E16" s="33"/>
      <c r="F16" s="33"/>
      <c r="G16" s="33"/>
      <c r="H16" s="33"/>
      <c r="I16" s="33"/>
      <c r="J16" s="33"/>
      <c r="K16" s="33"/>
      <c r="L16" s="33"/>
      <c r="M16" s="33"/>
      <c r="N16" s="33"/>
      <c r="O16" s="33"/>
      <c r="P16" s="33"/>
      <c r="Q16" s="33"/>
      <c r="R16" s="33"/>
      <c r="S16" s="33"/>
      <c r="T16" s="33"/>
    </row>
    <row r="17" spans="2:20" x14ac:dyDescent="0.25">
      <c r="B17" s="146" t="s">
        <v>258</v>
      </c>
      <c r="C17" s="51"/>
      <c r="D17" s="33"/>
      <c r="E17" s="33"/>
      <c r="F17" s="33"/>
      <c r="G17" s="33"/>
      <c r="H17" s="33"/>
      <c r="I17" s="33"/>
      <c r="J17" s="33"/>
      <c r="K17" s="33"/>
      <c r="L17" s="33"/>
      <c r="M17" s="33"/>
      <c r="N17" s="33"/>
      <c r="O17" s="33"/>
      <c r="P17" s="33"/>
      <c r="Q17" s="33"/>
      <c r="R17" s="33"/>
      <c r="S17" s="33"/>
      <c r="T17" s="33"/>
    </row>
    <row r="18" spans="2:20" ht="30" x14ac:dyDescent="0.25">
      <c r="B18" s="72" t="s">
        <v>183</v>
      </c>
      <c r="C18" s="196">
        <v>1.2</v>
      </c>
      <c r="D18" s="67">
        <f>C18</f>
        <v>1.2</v>
      </c>
      <c r="E18" s="67">
        <f>C18</f>
        <v>1.2</v>
      </c>
      <c r="F18" s="35">
        <f>C18</f>
        <v>1.2</v>
      </c>
      <c r="G18" s="35">
        <f>C18</f>
        <v>1.2</v>
      </c>
      <c r="H18" s="36">
        <f>C18</f>
        <v>1.2</v>
      </c>
      <c r="I18" s="36">
        <f>C18</f>
        <v>1.2</v>
      </c>
      <c r="J18" s="36">
        <f>C18</f>
        <v>1.2</v>
      </c>
      <c r="K18" s="36">
        <f>C18</f>
        <v>1.2</v>
      </c>
      <c r="L18" s="36">
        <f>C18</f>
        <v>1.2</v>
      </c>
      <c r="M18" s="36">
        <f>C18</f>
        <v>1.2</v>
      </c>
      <c r="N18" s="36">
        <f>C18</f>
        <v>1.2</v>
      </c>
      <c r="O18" s="36">
        <f>C18</f>
        <v>1.2</v>
      </c>
      <c r="P18" s="36">
        <f>C18</f>
        <v>1.2</v>
      </c>
      <c r="Q18" s="36">
        <f>C18</f>
        <v>1.2</v>
      </c>
      <c r="R18" s="36">
        <f>C18</f>
        <v>1.2</v>
      </c>
      <c r="S18" s="36">
        <f>C18</f>
        <v>1.2</v>
      </c>
      <c r="T18" s="36">
        <f>C18</f>
        <v>1.2</v>
      </c>
    </row>
    <row r="19" spans="2:20" x14ac:dyDescent="0.25">
      <c r="B19" s="3" t="s">
        <v>5</v>
      </c>
      <c r="C19" s="196">
        <v>2</v>
      </c>
      <c r="D19" s="35">
        <f>C19</f>
        <v>2</v>
      </c>
      <c r="E19" s="35">
        <f>C19</f>
        <v>2</v>
      </c>
      <c r="F19" s="35">
        <f>C19</f>
        <v>2</v>
      </c>
      <c r="G19" s="35">
        <f>C19</f>
        <v>2</v>
      </c>
      <c r="H19" s="36">
        <f>C19</f>
        <v>2</v>
      </c>
      <c r="I19" s="36">
        <f>C19</f>
        <v>2</v>
      </c>
      <c r="J19" s="36">
        <f>C19</f>
        <v>2</v>
      </c>
      <c r="K19" s="36">
        <f>C19</f>
        <v>2</v>
      </c>
      <c r="L19" s="36">
        <f>C19</f>
        <v>2</v>
      </c>
      <c r="M19" s="36">
        <f>C19</f>
        <v>2</v>
      </c>
      <c r="N19" s="36">
        <f>C19</f>
        <v>2</v>
      </c>
      <c r="O19" s="36">
        <f>C19</f>
        <v>2</v>
      </c>
      <c r="P19" s="36">
        <f>C19</f>
        <v>2</v>
      </c>
      <c r="Q19" s="36">
        <f>C19</f>
        <v>2</v>
      </c>
      <c r="R19" s="36">
        <f>C19</f>
        <v>2</v>
      </c>
      <c r="S19" s="36">
        <f>C19</f>
        <v>2</v>
      </c>
      <c r="T19" s="36">
        <f>C19</f>
        <v>2</v>
      </c>
    </row>
    <row r="20" spans="2:20" x14ac:dyDescent="0.25">
      <c r="B20" s="68" t="s">
        <v>237</v>
      </c>
      <c r="C20" s="51" t="s">
        <v>88</v>
      </c>
      <c r="D20" s="96">
        <f t="shared" ref="D20:T20" si="4">((D14+D15)*D18)/D19</f>
        <v>2.4</v>
      </c>
      <c r="E20" s="96">
        <f t="shared" si="4"/>
        <v>3</v>
      </c>
      <c r="F20" s="96">
        <f t="shared" si="4"/>
        <v>3.5999999999999996</v>
      </c>
      <c r="G20" s="96">
        <f t="shared" si="4"/>
        <v>4.2</v>
      </c>
      <c r="H20" s="96">
        <f t="shared" si="4"/>
        <v>4.8</v>
      </c>
      <c r="I20" s="96">
        <f t="shared" si="4"/>
        <v>5.3999999999999995</v>
      </c>
      <c r="J20" s="96">
        <f t="shared" si="4"/>
        <v>6</v>
      </c>
      <c r="K20" s="96">
        <f t="shared" si="4"/>
        <v>6.6</v>
      </c>
      <c r="L20" s="96">
        <f t="shared" si="4"/>
        <v>7.1999999999999993</v>
      </c>
      <c r="M20" s="96">
        <f t="shared" si="4"/>
        <v>7.1999999999999993</v>
      </c>
      <c r="N20" s="96">
        <f t="shared" si="4"/>
        <v>7.8</v>
      </c>
      <c r="O20" s="96">
        <f t="shared" si="4"/>
        <v>7.8</v>
      </c>
      <c r="P20" s="96">
        <f t="shared" si="4"/>
        <v>8.4</v>
      </c>
      <c r="Q20" s="96">
        <f t="shared" si="4"/>
        <v>8.4</v>
      </c>
      <c r="R20" s="96">
        <f t="shared" si="4"/>
        <v>9</v>
      </c>
      <c r="S20" s="96">
        <f t="shared" si="4"/>
        <v>9.6</v>
      </c>
      <c r="T20" s="96">
        <f t="shared" si="4"/>
        <v>6</v>
      </c>
    </row>
    <row r="22" spans="2:20" s="16" customFormat="1" x14ac:dyDescent="0.25">
      <c r="B22" s="147" t="s">
        <v>259</v>
      </c>
      <c r="C22" s="37"/>
      <c r="D22" s="37"/>
      <c r="E22" s="37"/>
      <c r="F22" s="37"/>
      <c r="G22" s="37"/>
      <c r="H22" s="37"/>
      <c r="I22" s="37"/>
      <c r="J22" s="37"/>
      <c r="K22" s="37"/>
      <c r="L22" s="37"/>
      <c r="M22" s="37"/>
      <c r="N22" s="37"/>
      <c r="O22" s="37"/>
      <c r="P22" s="37"/>
      <c r="Q22" s="37"/>
      <c r="R22" s="37"/>
      <c r="S22" s="37"/>
      <c r="T22" s="108"/>
    </row>
    <row r="23" spans="2:20" ht="30" x14ac:dyDescent="0.25">
      <c r="B23" s="72" t="s">
        <v>313</v>
      </c>
      <c r="C23" s="197">
        <v>0.48</v>
      </c>
      <c r="D23" s="67">
        <f>C23</f>
        <v>0.48</v>
      </c>
      <c r="E23" s="67">
        <f>C23</f>
        <v>0.48</v>
      </c>
      <c r="F23" s="35">
        <f>C23</f>
        <v>0.48</v>
      </c>
      <c r="G23" s="35">
        <f>C23</f>
        <v>0.48</v>
      </c>
      <c r="H23" s="36">
        <f>C23</f>
        <v>0.48</v>
      </c>
      <c r="I23" s="36">
        <f>C23</f>
        <v>0.48</v>
      </c>
      <c r="J23" s="36">
        <f>C23</f>
        <v>0.48</v>
      </c>
      <c r="K23" s="36">
        <f>C23</f>
        <v>0.48</v>
      </c>
      <c r="L23" s="36">
        <f>C23</f>
        <v>0.48</v>
      </c>
      <c r="M23" s="36">
        <f>C23</f>
        <v>0.48</v>
      </c>
      <c r="N23" s="36">
        <f>C23</f>
        <v>0.48</v>
      </c>
      <c r="O23" s="36">
        <f>C23</f>
        <v>0.48</v>
      </c>
      <c r="P23" s="36">
        <f>C23</f>
        <v>0.48</v>
      </c>
      <c r="Q23" s="36">
        <f>C23</f>
        <v>0.48</v>
      </c>
      <c r="R23" s="36">
        <f>C23</f>
        <v>0.48</v>
      </c>
      <c r="S23" s="36">
        <f>C23</f>
        <v>0.48</v>
      </c>
      <c r="T23" s="36">
        <f>C23</f>
        <v>0.48</v>
      </c>
    </row>
    <row r="24" spans="2:20" ht="30" x14ac:dyDescent="0.25">
      <c r="B24" s="92" t="s">
        <v>314</v>
      </c>
      <c r="C24" s="196">
        <v>0.39</v>
      </c>
      <c r="D24" s="67">
        <f>C24</f>
        <v>0.39</v>
      </c>
      <c r="E24" s="67">
        <f>C24</f>
        <v>0.39</v>
      </c>
      <c r="F24" s="35">
        <f>C24</f>
        <v>0.39</v>
      </c>
      <c r="G24" s="67">
        <f>C24</f>
        <v>0.39</v>
      </c>
      <c r="H24" s="36">
        <f>C24</f>
        <v>0.39</v>
      </c>
      <c r="I24" s="67">
        <f>C24</f>
        <v>0.39</v>
      </c>
      <c r="J24" s="36">
        <f>C24</f>
        <v>0.39</v>
      </c>
      <c r="K24" s="67">
        <f>C24</f>
        <v>0.39</v>
      </c>
      <c r="L24" s="36">
        <f>C24</f>
        <v>0.39</v>
      </c>
      <c r="M24" s="36">
        <f>C24</f>
        <v>0.39</v>
      </c>
      <c r="N24" s="36">
        <f>C24</f>
        <v>0.39</v>
      </c>
      <c r="O24" s="36">
        <f>C24</f>
        <v>0.39</v>
      </c>
      <c r="P24" s="36">
        <f>C24</f>
        <v>0.39</v>
      </c>
      <c r="Q24" s="36">
        <f>C24</f>
        <v>0.39</v>
      </c>
      <c r="R24" s="36">
        <f>C24</f>
        <v>0.39</v>
      </c>
      <c r="S24" s="36">
        <f>C24</f>
        <v>0.39</v>
      </c>
      <c r="T24" s="36">
        <f>C24</f>
        <v>0.39</v>
      </c>
    </row>
    <row r="25" spans="2:20" x14ac:dyDescent="0.25">
      <c r="B25" t="s">
        <v>5</v>
      </c>
      <c r="C25" s="197">
        <v>1.5</v>
      </c>
      <c r="D25" s="38">
        <f>C25</f>
        <v>1.5</v>
      </c>
      <c r="E25" s="38">
        <f>C25</f>
        <v>1.5</v>
      </c>
      <c r="F25" s="38">
        <f>C25</f>
        <v>1.5</v>
      </c>
      <c r="G25" s="38">
        <f>C25</f>
        <v>1.5</v>
      </c>
      <c r="H25" s="36">
        <f>C25</f>
        <v>1.5</v>
      </c>
      <c r="I25" s="36">
        <f>C25</f>
        <v>1.5</v>
      </c>
      <c r="J25" s="36">
        <f>C25</f>
        <v>1.5</v>
      </c>
      <c r="K25" s="36">
        <f>C25</f>
        <v>1.5</v>
      </c>
      <c r="L25" s="36">
        <f>C25</f>
        <v>1.5</v>
      </c>
      <c r="M25" s="36">
        <f>C25</f>
        <v>1.5</v>
      </c>
      <c r="N25" s="36">
        <f>C25</f>
        <v>1.5</v>
      </c>
      <c r="O25" s="36">
        <f>C25</f>
        <v>1.5</v>
      </c>
      <c r="P25" s="36">
        <f>C25</f>
        <v>1.5</v>
      </c>
      <c r="Q25" s="36">
        <f>C25</f>
        <v>1.5</v>
      </c>
      <c r="R25" s="36">
        <f>C25</f>
        <v>1.5</v>
      </c>
      <c r="S25" s="36">
        <f>C25</f>
        <v>1.5</v>
      </c>
      <c r="T25" s="36">
        <f>C25</f>
        <v>1.5</v>
      </c>
    </row>
    <row r="26" spans="2:20" x14ac:dyDescent="0.25">
      <c r="B26" s="66" t="s">
        <v>238</v>
      </c>
      <c r="C26" s="51" t="s">
        <v>88</v>
      </c>
      <c r="D26" s="96">
        <f t="shared" ref="D26:J26" si="5">(D23*D14+D24*D15)/D25</f>
        <v>1.04</v>
      </c>
      <c r="E26" s="96">
        <f t="shared" si="5"/>
        <v>1.36</v>
      </c>
      <c r="F26" s="96">
        <f t="shared" si="5"/>
        <v>1.68</v>
      </c>
      <c r="G26" s="96">
        <f t="shared" si="5"/>
        <v>2</v>
      </c>
      <c r="H26" s="96">
        <f t="shared" si="5"/>
        <v>2.3199999999999998</v>
      </c>
      <c r="I26" s="96">
        <f t="shared" si="5"/>
        <v>2.64</v>
      </c>
      <c r="J26" s="96">
        <f t="shared" si="5"/>
        <v>2.9599999999999995</v>
      </c>
      <c r="K26" s="96">
        <f>(K23*K14)/K25</f>
        <v>2.2399999999999998</v>
      </c>
      <c r="L26" s="96">
        <f t="shared" ref="L26:T26" si="6">(L23*L14+L24*L15)/L25</f>
        <v>3.6</v>
      </c>
      <c r="M26" s="96">
        <f t="shared" si="6"/>
        <v>3.48</v>
      </c>
      <c r="N26" s="96">
        <f t="shared" si="6"/>
        <v>3.9200000000000004</v>
      </c>
      <c r="O26" s="96">
        <f t="shared" si="6"/>
        <v>3.7999999999999994</v>
      </c>
      <c r="P26" s="96">
        <f t="shared" si="6"/>
        <v>4.2399999999999993</v>
      </c>
      <c r="Q26" s="96">
        <f t="shared" si="6"/>
        <v>4.12</v>
      </c>
      <c r="R26" s="96">
        <f t="shared" si="6"/>
        <v>4.4400000000000004</v>
      </c>
      <c r="S26" s="96">
        <f t="shared" si="6"/>
        <v>4.76</v>
      </c>
      <c r="T26" s="96">
        <f t="shared" si="6"/>
        <v>2.84</v>
      </c>
    </row>
    <row r="28" spans="2:20" x14ac:dyDescent="0.25">
      <c r="B28" s="23" t="s">
        <v>260</v>
      </c>
    </row>
    <row r="29" spans="2:20" x14ac:dyDescent="0.25">
      <c r="B29" s="66" t="s">
        <v>255</v>
      </c>
      <c r="D29" s="145">
        <f t="shared" ref="D29:T29" si="7" xml:space="preserve"> D14*MIN(D23/D25,D18/D19)+D15*MIN(D24/D25,D18/D19)</f>
        <v>1.04</v>
      </c>
      <c r="E29" s="145">
        <f t="shared" si="7"/>
        <v>1.36</v>
      </c>
      <c r="F29" s="145">
        <f t="shared" si="7"/>
        <v>1.6800000000000002</v>
      </c>
      <c r="G29" s="145">
        <f t="shared" si="7"/>
        <v>2</v>
      </c>
      <c r="H29" s="145">
        <f t="shared" si="7"/>
        <v>2.3200000000000003</v>
      </c>
      <c r="I29" s="145">
        <f t="shared" si="7"/>
        <v>2.64</v>
      </c>
      <c r="J29" s="145">
        <f t="shared" si="7"/>
        <v>2.96</v>
      </c>
      <c r="K29" s="145">
        <f t="shared" si="7"/>
        <v>3.2800000000000002</v>
      </c>
      <c r="L29" s="145">
        <f t="shared" si="7"/>
        <v>3.6</v>
      </c>
      <c r="M29" s="145">
        <f t="shared" si="7"/>
        <v>3.48</v>
      </c>
      <c r="N29" s="145">
        <f t="shared" si="7"/>
        <v>3.92</v>
      </c>
      <c r="O29" s="145">
        <f t="shared" si="7"/>
        <v>3.8000000000000003</v>
      </c>
      <c r="P29" s="145">
        <f t="shared" si="7"/>
        <v>4.24</v>
      </c>
      <c r="Q29" s="145">
        <f t="shared" si="7"/>
        <v>4.12</v>
      </c>
      <c r="R29" s="145">
        <f t="shared" si="7"/>
        <v>4.4399999999999995</v>
      </c>
      <c r="S29" s="145">
        <f t="shared" si="7"/>
        <v>4.76</v>
      </c>
      <c r="T29" s="145">
        <f t="shared" si="7"/>
        <v>2.84</v>
      </c>
    </row>
    <row r="33" spans="2:2" x14ac:dyDescent="0.25">
      <c r="B33" s="116" t="s">
        <v>6</v>
      </c>
    </row>
    <row r="34" spans="2:2" ht="15" customHeight="1" x14ac:dyDescent="0.25">
      <c r="B34" s="227" t="s">
        <v>273</v>
      </c>
    </row>
    <row r="35" spans="2:2" ht="15" customHeight="1" x14ac:dyDescent="0.25">
      <c r="B35" s="227"/>
    </row>
    <row r="36" spans="2:2" ht="15" customHeight="1" x14ac:dyDescent="0.25">
      <c r="B36" s="227" t="s">
        <v>274</v>
      </c>
    </row>
    <row r="37" spans="2:2" ht="15" customHeight="1" x14ac:dyDescent="0.25">
      <c r="B37" s="227"/>
    </row>
    <row r="38" spans="2:2" ht="15" customHeight="1" x14ac:dyDescent="0.25">
      <c r="B38" s="116" t="s">
        <v>216</v>
      </c>
    </row>
    <row r="39" spans="2:2" ht="15" customHeight="1" x14ac:dyDescent="0.25">
      <c r="B39" s="226" t="s">
        <v>215</v>
      </c>
    </row>
    <row r="40" spans="2:2" ht="15" customHeight="1" x14ac:dyDescent="0.25">
      <c r="B40" s="226"/>
    </row>
    <row r="42" spans="2:2" ht="15" customHeight="1" x14ac:dyDescent="0.25">
      <c r="B42" s="19"/>
    </row>
    <row r="43" spans="2:2" ht="15" customHeight="1" x14ac:dyDescent="0.25">
      <c r="B43" s="165"/>
    </row>
    <row r="44" spans="2:2" x14ac:dyDescent="0.25">
      <c r="B44" s="165"/>
    </row>
    <row r="45" spans="2:2" x14ac:dyDescent="0.25">
      <c r="B45" s="165"/>
    </row>
    <row r="46" spans="2:2" x14ac:dyDescent="0.25">
      <c r="B46" s="165"/>
    </row>
    <row r="47" spans="2:2" x14ac:dyDescent="0.25">
      <c r="B47" s="165"/>
    </row>
    <row r="53" spans="2:3" ht="15" customHeight="1" x14ac:dyDescent="0.25">
      <c r="B53" s="29"/>
    </row>
    <row r="57" spans="2:3" hidden="1" x14ac:dyDescent="0.25">
      <c r="C57">
        <v>0</v>
      </c>
    </row>
    <row r="58" spans="2:3" hidden="1" x14ac:dyDescent="0.25">
      <c r="C58">
        <v>0.5</v>
      </c>
    </row>
    <row r="59" spans="2:3" hidden="1" x14ac:dyDescent="0.25">
      <c r="C59">
        <v>1</v>
      </c>
    </row>
    <row r="60" spans="2:3" hidden="1" x14ac:dyDescent="0.25">
      <c r="C60">
        <v>1.5</v>
      </c>
    </row>
    <row r="61" spans="2:3" hidden="1" x14ac:dyDescent="0.25">
      <c r="C61">
        <v>2</v>
      </c>
    </row>
    <row r="62" spans="2:3" hidden="1" x14ac:dyDescent="0.25">
      <c r="C62">
        <v>2.5</v>
      </c>
    </row>
    <row r="63" spans="2:3" hidden="1" x14ac:dyDescent="0.25">
      <c r="C63">
        <v>3</v>
      </c>
    </row>
    <row r="64" spans="2:3" hidden="1" x14ac:dyDescent="0.25">
      <c r="C64">
        <v>3.5</v>
      </c>
    </row>
    <row r="65" spans="3:3" hidden="1" x14ac:dyDescent="0.25">
      <c r="C65">
        <v>4</v>
      </c>
    </row>
    <row r="66" spans="3:3" hidden="1" x14ac:dyDescent="0.25">
      <c r="C66">
        <v>4.5</v>
      </c>
    </row>
    <row r="67" spans="3:3" hidden="1" x14ac:dyDescent="0.25">
      <c r="C67">
        <v>5</v>
      </c>
    </row>
    <row r="68" spans="3:3" hidden="1" x14ac:dyDescent="0.25">
      <c r="C68">
        <v>5.5</v>
      </c>
    </row>
    <row r="69" spans="3:3" hidden="1" x14ac:dyDescent="0.25">
      <c r="C69">
        <v>6</v>
      </c>
    </row>
    <row r="70" spans="3:3" hidden="1" x14ac:dyDescent="0.25">
      <c r="C70">
        <v>6.5</v>
      </c>
    </row>
    <row r="71" spans="3:3" hidden="1" x14ac:dyDescent="0.25">
      <c r="C71">
        <v>7</v>
      </c>
    </row>
    <row r="72" spans="3:3" hidden="1" x14ac:dyDescent="0.25">
      <c r="C72">
        <v>7.5</v>
      </c>
    </row>
    <row r="73" spans="3:3" hidden="1" x14ac:dyDescent="0.25">
      <c r="C73">
        <v>8</v>
      </c>
    </row>
    <row r="74" spans="3:3" hidden="1" x14ac:dyDescent="0.25">
      <c r="C74">
        <v>8.5</v>
      </c>
    </row>
    <row r="75" spans="3:3" hidden="1" x14ac:dyDescent="0.25">
      <c r="C75">
        <v>9</v>
      </c>
    </row>
    <row r="76" spans="3:3" hidden="1" x14ac:dyDescent="0.25">
      <c r="C76">
        <v>9.5</v>
      </c>
    </row>
    <row r="77" spans="3:3" hidden="1" x14ac:dyDescent="0.25">
      <c r="C77">
        <v>10</v>
      </c>
    </row>
    <row r="116" ht="30" customHeight="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sheetData>
  <sheetProtection algorithmName="SHA-512" hashValue="73kQL6N4nZOllLYg/yIorSRf6ullt5JsObvXmBdwos5d5BgyMnnLyp/Pkl3qBTq/5QZuDKRIxZ0Epah0xRBMQQ==" saltValue="EUEv21bNWfyeRB0vwyRpsg==" spinCount="100000" sheet="1" objects="1" scenarios="1"/>
  <mergeCells count="4">
    <mergeCell ref="B2:G3"/>
    <mergeCell ref="B34:B35"/>
    <mergeCell ref="B36:B37"/>
    <mergeCell ref="B39:B40"/>
  </mergeCells>
  <dataValidations count="1">
    <dataValidation type="list" allowBlank="1" showInputMessage="1" showErrorMessage="1" sqref="T11:T12" xr:uid="{00000000-0002-0000-0200-000000000000}">
      <formula1>liczby010</formula1>
    </dataValidation>
  </dataValidations>
  <pageMargins left="0.7" right="0.7" top="0.75" bottom="0.75" header="0.3" footer="0.3"/>
  <pageSetup paperSize="9" orientation="portrait" horizontalDpi="1200" verticalDpi="1200" r:id="rId1"/>
  <ignoredErrors>
    <ignoredError sqref="F26 J26:K26 H26"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Q160"/>
  <sheetViews>
    <sheetView workbookViewId="0">
      <selection activeCell="B2" sqref="B2:G3"/>
    </sheetView>
  </sheetViews>
  <sheetFormatPr defaultRowHeight="15" x14ac:dyDescent="0.25"/>
  <cols>
    <col min="2" max="2" width="63.28515625" customWidth="1"/>
    <col min="3" max="17" width="27.42578125" customWidth="1"/>
  </cols>
  <sheetData>
    <row r="2" spans="2:17" x14ac:dyDescent="0.25">
      <c r="B2" s="226" t="s">
        <v>318</v>
      </c>
      <c r="C2" s="226"/>
      <c r="D2" s="226"/>
      <c r="E2" s="226"/>
      <c r="F2" s="226"/>
      <c r="G2" s="226"/>
    </row>
    <row r="3" spans="2:17" x14ac:dyDescent="0.25">
      <c r="B3" s="226"/>
      <c r="C3" s="226"/>
      <c r="D3" s="226"/>
      <c r="E3" s="226"/>
      <c r="F3" s="226"/>
      <c r="G3" s="226"/>
    </row>
    <row r="4" spans="2:17" x14ac:dyDescent="0.25">
      <c r="B4" s="150"/>
    </row>
    <row r="5" spans="2:17" x14ac:dyDescent="0.25">
      <c r="B5" t="s">
        <v>40</v>
      </c>
      <c r="C5" s="65" t="s">
        <v>88</v>
      </c>
      <c r="D5" s="157">
        <v>1</v>
      </c>
      <c r="E5" s="157">
        <v>2</v>
      </c>
      <c r="F5" s="157">
        <v>3</v>
      </c>
      <c r="G5" s="157">
        <v>4</v>
      </c>
      <c r="H5" s="157">
        <v>5</v>
      </c>
      <c r="I5" s="157">
        <v>6</v>
      </c>
      <c r="J5" s="157">
        <v>7</v>
      </c>
      <c r="K5" s="157">
        <v>8</v>
      </c>
      <c r="L5" s="157">
        <v>9</v>
      </c>
      <c r="M5" s="157">
        <v>10</v>
      </c>
      <c r="N5" s="157">
        <v>11</v>
      </c>
      <c r="O5" s="157">
        <v>12</v>
      </c>
      <c r="P5" s="157">
        <v>13</v>
      </c>
      <c r="Q5" s="157">
        <v>14</v>
      </c>
    </row>
    <row r="6" spans="2:17" s="1" customFormat="1" ht="84.95" customHeight="1" x14ac:dyDescent="0.25">
      <c r="B6" s="1" t="s">
        <v>0</v>
      </c>
      <c r="C6" s="51" t="s">
        <v>88</v>
      </c>
      <c r="E6" s="175" t="s">
        <v>295</v>
      </c>
      <c r="G6" s="175" t="s">
        <v>296</v>
      </c>
      <c r="I6" s="175" t="s">
        <v>297</v>
      </c>
      <c r="K6" s="175" t="s">
        <v>298</v>
      </c>
      <c r="M6" s="175" t="s">
        <v>306</v>
      </c>
      <c r="O6" s="175" t="s">
        <v>307</v>
      </c>
      <c r="Q6" s="127" t="s">
        <v>244</v>
      </c>
    </row>
    <row r="7" spans="2:17" x14ac:dyDescent="0.25">
      <c r="B7" s="1" t="s">
        <v>1</v>
      </c>
      <c r="Q7" s="41"/>
    </row>
    <row r="8" spans="2:17" x14ac:dyDescent="0.25">
      <c r="B8" s="3" t="s">
        <v>2</v>
      </c>
      <c r="C8" s="195">
        <v>1</v>
      </c>
      <c r="D8" s="34">
        <f>C8</f>
        <v>1</v>
      </c>
      <c r="E8" s="34">
        <f>C8</f>
        <v>1</v>
      </c>
      <c r="F8" s="34">
        <f>C8</f>
        <v>1</v>
      </c>
      <c r="G8" s="34">
        <f>C8</f>
        <v>1</v>
      </c>
      <c r="H8" s="34">
        <f>C8</f>
        <v>1</v>
      </c>
      <c r="I8" s="34">
        <f>C8</f>
        <v>1</v>
      </c>
      <c r="J8" s="34">
        <f>C8</f>
        <v>1</v>
      </c>
      <c r="K8" s="34">
        <f>C8</f>
        <v>1</v>
      </c>
      <c r="L8" s="34">
        <f>C8</f>
        <v>1</v>
      </c>
      <c r="M8" s="34">
        <f>C8</f>
        <v>1</v>
      </c>
      <c r="N8" s="34">
        <f>C8</f>
        <v>1</v>
      </c>
      <c r="O8" s="35">
        <f>C8</f>
        <v>1</v>
      </c>
      <c r="P8" s="35">
        <f>C8</f>
        <v>1</v>
      </c>
      <c r="Q8" s="36">
        <f>C8</f>
        <v>1</v>
      </c>
    </row>
    <row r="9" spans="2:17" x14ac:dyDescent="0.25">
      <c r="B9" s="3" t="s">
        <v>3</v>
      </c>
      <c r="C9" s="195">
        <v>0.6</v>
      </c>
      <c r="D9" s="34">
        <f>C9</f>
        <v>0.6</v>
      </c>
      <c r="E9" s="34">
        <f>C9</f>
        <v>0.6</v>
      </c>
      <c r="F9" s="34">
        <f>C9</f>
        <v>0.6</v>
      </c>
      <c r="G9" s="34">
        <f>C9</f>
        <v>0.6</v>
      </c>
      <c r="H9" s="34">
        <f>C9</f>
        <v>0.6</v>
      </c>
      <c r="I9" s="34">
        <f>C9</f>
        <v>0.6</v>
      </c>
      <c r="J9" s="34">
        <f>C9</f>
        <v>0.6</v>
      </c>
      <c r="K9" s="34">
        <f>C9</f>
        <v>0.6</v>
      </c>
      <c r="L9" s="34">
        <f>C9</f>
        <v>0.6</v>
      </c>
      <c r="M9" s="34">
        <f>C9</f>
        <v>0.6</v>
      </c>
      <c r="N9" s="34">
        <f>C9</f>
        <v>0.6</v>
      </c>
      <c r="O9" s="35">
        <f>C9</f>
        <v>0.6</v>
      </c>
      <c r="P9" s="35">
        <f>C9</f>
        <v>0.6</v>
      </c>
      <c r="Q9" s="36">
        <f>C9</f>
        <v>0.6</v>
      </c>
    </row>
    <row r="10" spans="2:17" x14ac:dyDescent="0.25">
      <c r="B10" s="3" t="s">
        <v>4</v>
      </c>
      <c r="C10" s="51" t="s">
        <v>88</v>
      </c>
      <c r="D10" s="33">
        <f>D11+D12</f>
        <v>2</v>
      </c>
      <c r="E10" s="33">
        <f t="shared" ref="E10:P10" si="0">E11+E12</f>
        <v>2.5</v>
      </c>
      <c r="F10" s="33">
        <f t="shared" si="0"/>
        <v>3</v>
      </c>
      <c r="G10" s="33">
        <f t="shared" si="0"/>
        <v>3.5</v>
      </c>
      <c r="H10" s="33">
        <f t="shared" si="0"/>
        <v>4</v>
      </c>
      <c r="I10" s="33">
        <f t="shared" si="0"/>
        <v>4.5</v>
      </c>
      <c r="J10" s="33">
        <f t="shared" si="0"/>
        <v>5</v>
      </c>
      <c r="K10" s="33">
        <f t="shared" si="0"/>
        <v>5.5</v>
      </c>
      <c r="L10" s="33">
        <f t="shared" si="0"/>
        <v>6</v>
      </c>
      <c r="M10" s="33">
        <f t="shared" si="0"/>
        <v>6.5</v>
      </c>
      <c r="N10" s="33">
        <f t="shared" si="0"/>
        <v>7</v>
      </c>
      <c r="O10" s="33">
        <f t="shared" si="0"/>
        <v>7.5</v>
      </c>
      <c r="P10" s="33">
        <f t="shared" si="0"/>
        <v>8</v>
      </c>
      <c r="Q10" s="36">
        <f>Q11+Q12</f>
        <v>2</v>
      </c>
    </row>
    <row r="11" spans="2:17" x14ac:dyDescent="0.25">
      <c r="B11" s="3" t="s">
        <v>242</v>
      </c>
      <c r="C11" s="51" t="s">
        <v>88</v>
      </c>
      <c r="D11" s="33">
        <v>0</v>
      </c>
      <c r="E11" s="33">
        <v>0</v>
      </c>
      <c r="F11" s="33">
        <v>0</v>
      </c>
      <c r="G11" s="33">
        <v>0</v>
      </c>
      <c r="H11" s="33">
        <v>0</v>
      </c>
      <c r="I11" s="33">
        <v>0</v>
      </c>
      <c r="J11" s="33">
        <v>0</v>
      </c>
      <c r="K11" s="33">
        <v>0</v>
      </c>
      <c r="L11" s="33">
        <v>0</v>
      </c>
      <c r="M11" s="33">
        <v>0.5</v>
      </c>
      <c r="N11" s="33">
        <v>1</v>
      </c>
      <c r="O11" s="33">
        <v>1.5</v>
      </c>
      <c r="P11" s="33">
        <v>2</v>
      </c>
      <c r="Q11" s="198">
        <v>2</v>
      </c>
    </row>
    <row r="12" spans="2:17" x14ac:dyDescent="0.25">
      <c r="B12" s="3" t="s">
        <v>275</v>
      </c>
      <c r="C12" s="51" t="s">
        <v>88</v>
      </c>
      <c r="D12" s="33">
        <v>2</v>
      </c>
      <c r="E12" s="33">
        <v>2.5</v>
      </c>
      <c r="F12" s="33">
        <v>3</v>
      </c>
      <c r="G12" s="33">
        <v>3.5</v>
      </c>
      <c r="H12" s="33">
        <v>4</v>
      </c>
      <c r="I12" s="33">
        <v>4.5</v>
      </c>
      <c r="J12" s="33">
        <v>5</v>
      </c>
      <c r="K12" s="33">
        <v>5.5</v>
      </c>
      <c r="L12" s="33">
        <v>6</v>
      </c>
      <c r="M12" s="33">
        <v>6</v>
      </c>
      <c r="N12" s="33">
        <v>6</v>
      </c>
      <c r="O12" s="33">
        <v>6</v>
      </c>
      <c r="P12" s="33">
        <v>6</v>
      </c>
      <c r="Q12" s="198">
        <v>0</v>
      </c>
    </row>
    <row r="13" spans="2:17" x14ac:dyDescent="0.25">
      <c r="B13" s="3" t="s">
        <v>212</v>
      </c>
      <c r="C13" s="51" t="s">
        <v>88</v>
      </c>
      <c r="D13" s="117">
        <f t="shared" ref="D13:Q13" si="1">D10/(D8*D9)</f>
        <v>3.3333333333333335</v>
      </c>
      <c r="E13" s="118">
        <f t="shared" si="1"/>
        <v>4.166666666666667</v>
      </c>
      <c r="F13" s="118">
        <f t="shared" si="1"/>
        <v>5</v>
      </c>
      <c r="G13" s="118">
        <f t="shared" si="1"/>
        <v>5.8333333333333339</v>
      </c>
      <c r="H13" s="118">
        <f t="shared" si="1"/>
        <v>6.666666666666667</v>
      </c>
      <c r="I13" s="118">
        <f t="shared" si="1"/>
        <v>7.5</v>
      </c>
      <c r="J13" s="118">
        <f t="shared" si="1"/>
        <v>8.3333333333333339</v>
      </c>
      <c r="K13" s="118">
        <f t="shared" si="1"/>
        <v>9.1666666666666679</v>
      </c>
      <c r="L13" s="118">
        <f t="shared" si="1"/>
        <v>10</v>
      </c>
      <c r="M13" s="118">
        <f t="shared" si="1"/>
        <v>10.833333333333334</v>
      </c>
      <c r="N13" s="118">
        <f t="shared" si="1"/>
        <v>11.666666666666668</v>
      </c>
      <c r="O13" s="118">
        <f t="shared" si="1"/>
        <v>12.5</v>
      </c>
      <c r="P13" s="118">
        <f t="shared" si="1"/>
        <v>13.333333333333334</v>
      </c>
      <c r="Q13" s="118">
        <f t="shared" si="1"/>
        <v>3.3333333333333335</v>
      </c>
    </row>
    <row r="14" spans="2:17" x14ac:dyDescent="0.25">
      <c r="B14" s="3" t="s">
        <v>276</v>
      </c>
      <c r="C14" s="51" t="s">
        <v>88</v>
      </c>
      <c r="D14" s="33">
        <f t="shared" ref="D14:Q14" si="2">D11/(D8*D9)</f>
        <v>0</v>
      </c>
      <c r="E14" s="33">
        <f t="shared" si="2"/>
        <v>0</v>
      </c>
      <c r="F14" s="33">
        <f t="shared" si="2"/>
        <v>0</v>
      </c>
      <c r="G14" s="33">
        <f t="shared" si="2"/>
        <v>0</v>
      </c>
      <c r="H14" s="33">
        <f t="shared" si="2"/>
        <v>0</v>
      </c>
      <c r="I14" s="33">
        <f t="shared" si="2"/>
        <v>0</v>
      </c>
      <c r="J14" s="33">
        <f t="shared" si="2"/>
        <v>0</v>
      </c>
      <c r="K14" s="33">
        <f t="shared" si="2"/>
        <v>0</v>
      </c>
      <c r="L14" s="33">
        <f t="shared" si="2"/>
        <v>0</v>
      </c>
      <c r="M14" s="33">
        <f t="shared" si="2"/>
        <v>0.83333333333333337</v>
      </c>
      <c r="N14" s="33">
        <f t="shared" si="2"/>
        <v>1.6666666666666667</v>
      </c>
      <c r="O14" s="33">
        <f t="shared" si="2"/>
        <v>2.5</v>
      </c>
      <c r="P14" s="33">
        <f t="shared" si="2"/>
        <v>3.3333333333333335</v>
      </c>
      <c r="Q14" s="33">
        <f t="shared" si="2"/>
        <v>3.3333333333333335</v>
      </c>
    </row>
    <row r="15" spans="2:17" x14ac:dyDescent="0.25">
      <c r="B15" s="3" t="s">
        <v>277</v>
      </c>
      <c r="C15" s="51" t="s">
        <v>88</v>
      </c>
      <c r="D15" s="33">
        <f t="shared" ref="D15:Q15" si="3">D12/(D8*D9)</f>
        <v>3.3333333333333335</v>
      </c>
      <c r="E15" s="33">
        <f t="shared" si="3"/>
        <v>4.166666666666667</v>
      </c>
      <c r="F15" s="33">
        <f t="shared" si="3"/>
        <v>5</v>
      </c>
      <c r="G15" s="33">
        <f t="shared" si="3"/>
        <v>5.8333333333333339</v>
      </c>
      <c r="H15" s="33">
        <f t="shared" si="3"/>
        <v>6.666666666666667</v>
      </c>
      <c r="I15" s="33">
        <f t="shared" si="3"/>
        <v>7.5</v>
      </c>
      <c r="J15" s="33">
        <f t="shared" si="3"/>
        <v>8.3333333333333339</v>
      </c>
      <c r="K15" s="33">
        <f t="shared" si="3"/>
        <v>9.1666666666666679</v>
      </c>
      <c r="L15" s="33">
        <f t="shared" si="3"/>
        <v>10</v>
      </c>
      <c r="M15" s="33">
        <f t="shared" si="3"/>
        <v>10</v>
      </c>
      <c r="N15" s="33">
        <f t="shared" si="3"/>
        <v>10</v>
      </c>
      <c r="O15" s="33">
        <f t="shared" si="3"/>
        <v>10</v>
      </c>
      <c r="P15" s="33">
        <f t="shared" si="3"/>
        <v>10</v>
      </c>
      <c r="Q15" s="33">
        <f t="shared" si="3"/>
        <v>0</v>
      </c>
    </row>
    <row r="16" spans="2:17" x14ac:dyDescent="0.25">
      <c r="B16" s="3"/>
      <c r="C16" s="51"/>
      <c r="D16" s="33"/>
      <c r="E16" s="33"/>
      <c r="F16" s="33"/>
      <c r="G16" s="33"/>
      <c r="H16" s="33"/>
      <c r="I16" s="33"/>
      <c r="J16" s="33"/>
      <c r="K16" s="33"/>
      <c r="L16" s="33"/>
      <c r="M16" s="33"/>
      <c r="N16" s="33"/>
      <c r="O16" s="33"/>
      <c r="P16" s="33"/>
      <c r="Q16" s="33"/>
    </row>
    <row r="17" spans="2:17" x14ac:dyDescent="0.25">
      <c r="B17" s="146" t="s">
        <v>258</v>
      </c>
      <c r="C17" s="51"/>
      <c r="D17" s="33"/>
      <c r="E17" s="33"/>
      <c r="F17" s="33"/>
      <c r="G17" s="33"/>
      <c r="H17" s="33"/>
      <c r="I17" s="33"/>
      <c r="J17" s="33"/>
      <c r="K17" s="33"/>
      <c r="L17" s="33"/>
      <c r="M17" s="33"/>
      <c r="N17" s="33"/>
      <c r="O17" s="33"/>
      <c r="P17" s="33"/>
      <c r="Q17" s="33"/>
    </row>
    <row r="18" spans="2:17" ht="30" x14ac:dyDescent="0.25">
      <c r="B18" s="72" t="s">
        <v>183</v>
      </c>
      <c r="C18" s="196">
        <v>1.2</v>
      </c>
      <c r="D18" s="67">
        <f>C18</f>
        <v>1.2</v>
      </c>
      <c r="E18" s="67">
        <f>C18</f>
        <v>1.2</v>
      </c>
      <c r="F18" s="35">
        <f>C18</f>
        <v>1.2</v>
      </c>
      <c r="G18" s="35">
        <f>C18</f>
        <v>1.2</v>
      </c>
      <c r="H18" s="36">
        <f>C18</f>
        <v>1.2</v>
      </c>
      <c r="I18" s="36">
        <f>C18</f>
        <v>1.2</v>
      </c>
      <c r="J18" s="36">
        <f>C18</f>
        <v>1.2</v>
      </c>
      <c r="K18" s="36">
        <f>C18</f>
        <v>1.2</v>
      </c>
      <c r="L18" s="36">
        <f>C18</f>
        <v>1.2</v>
      </c>
      <c r="M18" s="36">
        <f>C18</f>
        <v>1.2</v>
      </c>
      <c r="N18" s="36">
        <f>C18</f>
        <v>1.2</v>
      </c>
      <c r="O18" s="36">
        <f>C18</f>
        <v>1.2</v>
      </c>
      <c r="P18" s="36">
        <f>C18</f>
        <v>1.2</v>
      </c>
      <c r="Q18" s="36">
        <f>C18</f>
        <v>1.2</v>
      </c>
    </row>
    <row r="19" spans="2:17" x14ac:dyDescent="0.25">
      <c r="B19" s="3" t="s">
        <v>5</v>
      </c>
      <c r="C19" s="196">
        <v>2</v>
      </c>
      <c r="D19" s="35">
        <f>C19</f>
        <v>2</v>
      </c>
      <c r="E19" s="35">
        <f>C19</f>
        <v>2</v>
      </c>
      <c r="F19" s="35">
        <f>C19</f>
        <v>2</v>
      </c>
      <c r="G19" s="35">
        <f>C19</f>
        <v>2</v>
      </c>
      <c r="H19" s="36">
        <f>C19</f>
        <v>2</v>
      </c>
      <c r="I19" s="36">
        <f>C19</f>
        <v>2</v>
      </c>
      <c r="J19" s="36">
        <f>C19</f>
        <v>2</v>
      </c>
      <c r="K19" s="36">
        <f>C19</f>
        <v>2</v>
      </c>
      <c r="L19" s="36">
        <f>C19</f>
        <v>2</v>
      </c>
      <c r="M19" s="36">
        <f>C19</f>
        <v>2</v>
      </c>
      <c r="N19" s="36">
        <f>C19</f>
        <v>2</v>
      </c>
      <c r="O19" s="36">
        <f>C19</f>
        <v>2</v>
      </c>
      <c r="P19" s="36">
        <f>C19</f>
        <v>2</v>
      </c>
      <c r="Q19" s="36">
        <f>C19</f>
        <v>2</v>
      </c>
    </row>
    <row r="20" spans="2:17" x14ac:dyDescent="0.25">
      <c r="B20" s="68" t="s">
        <v>237</v>
      </c>
      <c r="C20" s="51" t="s">
        <v>88</v>
      </c>
      <c r="D20" s="96">
        <f t="shared" ref="D20:Q20" si="4">((D14+D15)*D18)/D19</f>
        <v>2</v>
      </c>
      <c r="E20" s="96">
        <f t="shared" si="4"/>
        <v>2.5</v>
      </c>
      <c r="F20" s="96">
        <f t="shared" si="4"/>
        <v>3</v>
      </c>
      <c r="G20" s="96">
        <f t="shared" si="4"/>
        <v>3.5000000000000004</v>
      </c>
      <c r="H20" s="96">
        <f t="shared" si="4"/>
        <v>4</v>
      </c>
      <c r="I20" s="96">
        <f t="shared" si="4"/>
        <v>4.5</v>
      </c>
      <c r="J20" s="96">
        <f t="shared" si="4"/>
        <v>5</v>
      </c>
      <c r="K20" s="96">
        <f t="shared" si="4"/>
        <v>5.5000000000000009</v>
      </c>
      <c r="L20" s="96">
        <f t="shared" si="4"/>
        <v>6</v>
      </c>
      <c r="M20" s="96">
        <f t="shared" si="4"/>
        <v>6.5</v>
      </c>
      <c r="N20" s="96">
        <f t="shared" si="4"/>
        <v>6.9999999999999991</v>
      </c>
      <c r="O20" s="96">
        <f t="shared" si="4"/>
        <v>7.5</v>
      </c>
      <c r="P20" s="96">
        <f t="shared" si="4"/>
        <v>8</v>
      </c>
      <c r="Q20" s="96">
        <f t="shared" si="4"/>
        <v>2</v>
      </c>
    </row>
    <row r="22" spans="2:17" s="16" customFormat="1" x14ac:dyDescent="0.25">
      <c r="B22" s="147" t="s">
        <v>259</v>
      </c>
      <c r="C22" s="37"/>
      <c r="D22" s="37"/>
      <c r="E22" s="37"/>
      <c r="F22" s="37"/>
      <c r="G22" s="37"/>
      <c r="H22" s="37"/>
      <c r="I22" s="37"/>
      <c r="J22" s="37"/>
      <c r="K22" s="37"/>
      <c r="L22" s="37"/>
      <c r="M22" s="37"/>
      <c r="N22" s="37"/>
      <c r="O22" s="37"/>
      <c r="P22" s="37"/>
      <c r="Q22" s="108"/>
    </row>
    <row r="23" spans="2:17" ht="30" x14ac:dyDescent="0.25">
      <c r="B23" s="72" t="s">
        <v>313</v>
      </c>
      <c r="C23" s="197">
        <v>0.41</v>
      </c>
      <c r="D23" s="67">
        <f>C23</f>
        <v>0.41</v>
      </c>
      <c r="E23" s="67">
        <f>C23</f>
        <v>0.41</v>
      </c>
      <c r="F23" s="35">
        <f>C23</f>
        <v>0.41</v>
      </c>
      <c r="G23" s="35">
        <f>C23</f>
        <v>0.41</v>
      </c>
      <c r="H23" s="36">
        <f>C23</f>
        <v>0.41</v>
      </c>
      <c r="I23" s="36">
        <f>C23</f>
        <v>0.41</v>
      </c>
      <c r="J23" s="36">
        <f>C23</f>
        <v>0.41</v>
      </c>
      <c r="K23" s="36">
        <f>C23</f>
        <v>0.41</v>
      </c>
      <c r="L23" s="36">
        <f>C23</f>
        <v>0.41</v>
      </c>
      <c r="M23" s="36">
        <f>C23</f>
        <v>0.41</v>
      </c>
      <c r="N23" s="36">
        <f>C23</f>
        <v>0.41</v>
      </c>
      <c r="O23" s="36">
        <f>C23</f>
        <v>0.41</v>
      </c>
      <c r="P23" s="36">
        <f>C23</f>
        <v>0.41</v>
      </c>
      <c r="Q23" s="36">
        <f>C23</f>
        <v>0.41</v>
      </c>
    </row>
    <row r="24" spans="2:17" ht="30" customHeight="1" x14ac:dyDescent="0.25">
      <c r="B24" s="92" t="s">
        <v>316</v>
      </c>
      <c r="C24" s="196">
        <v>0.37</v>
      </c>
      <c r="D24" s="67">
        <f>C24</f>
        <v>0.37</v>
      </c>
      <c r="E24" s="67">
        <f>C24</f>
        <v>0.37</v>
      </c>
      <c r="F24" s="35">
        <f>C24</f>
        <v>0.37</v>
      </c>
      <c r="G24" s="67">
        <f>C24</f>
        <v>0.37</v>
      </c>
      <c r="H24" s="36">
        <f>C24</f>
        <v>0.37</v>
      </c>
      <c r="I24" s="67">
        <f>C24</f>
        <v>0.37</v>
      </c>
      <c r="J24" s="36">
        <f>C24</f>
        <v>0.37</v>
      </c>
      <c r="K24" s="67">
        <f>C24</f>
        <v>0.37</v>
      </c>
      <c r="L24" s="36">
        <f>C24</f>
        <v>0.37</v>
      </c>
      <c r="M24" s="36">
        <f>C24</f>
        <v>0.37</v>
      </c>
      <c r="N24" s="36">
        <f>C24</f>
        <v>0.37</v>
      </c>
      <c r="O24" s="36">
        <f>C24</f>
        <v>0.37</v>
      </c>
      <c r="P24" s="36">
        <f>C24</f>
        <v>0.37</v>
      </c>
      <c r="Q24" s="36">
        <f>C24</f>
        <v>0.37</v>
      </c>
    </row>
    <row r="25" spans="2:17" x14ac:dyDescent="0.25">
      <c r="B25" t="s">
        <v>5</v>
      </c>
      <c r="C25" s="197">
        <v>2</v>
      </c>
      <c r="D25" s="38">
        <f>C25</f>
        <v>2</v>
      </c>
      <c r="E25" s="38">
        <f>C25</f>
        <v>2</v>
      </c>
      <c r="F25" s="38">
        <f>C25</f>
        <v>2</v>
      </c>
      <c r="G25" s="38">
        <f>C25</f>
        <v>2</v>
      </c>
      <c r="H25" s="36">
        <f>C25</f>
        <v>2</v>
      </c>
      <c r="I25" s="36">
        <f>C25</f>
        <v>2</v>
      </c>
      <c r="J25" s="36">
        <f>C25</f>
        <v>2</v>
      </c>
      <c r="K25" s="36">
        <f>C25</f>
        <v>2</v>
      </c>
      <c r="L25" s="36">
        <f>C25</f>
        <v>2</v>
      </c>
      <c r="M25" s="36">
        <f>C25</f>
        <v>2</v>
      </c>
      <c r="N25" s="36">
        <f>C25</f>
        <v>2</v>
      </c>
      <c r="O25" s="36">
        <f>C25</f>
        <v>2</v>
      </c>
      <c r="P25" s="36">
        <f>C25</f>
        <v>2</v>
      </c>
      <c r="Q25" s="36">
        <f>C25</f>
        <v>2</v>
      </c>
    </row>
    <row r="26" spans="2:17" x14ac:dyDescent="0.25">
      <c r="B26" s="66" t="s">
        <v>238</v>
      </c>
      <c r="C26" s="51" t="s">
        <v>88</v>
      </c>
      <c r="D26" s="96">
        <f t="shared" ref="D26:J26" si="5">(D23*D14+D24*D15)/D25</f>
        <v>0.6166666666666667</v>
      </c>
      <c r="E26" s="96">
        <f t="shared" si="5"/>
        <v>0.77083333333333337</v>
      </c>
      <c r="F26" s="96">
        <f t="shared" si="5"/>
        <v>0.92500000000000004</v>
      </c>
      <c r="G26" s="96">
        <f t="shared" si="5"/>
        <v>1.0791666666666668</v>
      </c>
      <c r="H26" s="96">
        <f t="shared" si="5"/>
        <v>1.2333333333333334</v>
      </c>
      <c r="I26" s="96">
        <f t="shared" si="5"/>
        <v>1.3875</v>
      </c>
      <c r="J26" s="96">
        <f t="shared" si="5"/>
        <v>1.5416666666666667</v>
      </c>
      <c r="K26" s="96">
        <f>(K23*K14)/K25</f>
        <v>0</v>
      </c>
      <c r="L26" s="96">
        <f t="shared" ref="L26:Q26" si="6">(L23*L14+L24*L15)/L25</f>
        <v>1.85</v>
      </c>
      <c r="M26" s="96">
        <f t="shared" si="6"/>
        <v>2.0208333333333335</v>
      </c>
      <c r="N26" s="96">
        <f t="shared" si="6"/>
        <v>2.1916666666666669</v>
      </c>
      <c r="O26" s="96">
        <f t="shared" si="6"/>
        <v>2.3624999999999998</v>
      </c>
      <c r="P26" s="96">
        <f t="shared" si="6"/>
        <v>2.5333333333333332</v>
      </c>
      <c r="Q26" s="96">
        <f t="shared" si="6"/>
        <v>0.68333333333333335</v>
      </c>
    </row>
    <row r="28" spans="2:17" x14ac:dyDescent="0.25">
      <c r="B28" s="149" t="s">
        <v>260</v>
      </c>
    </row>
    <row r="29" spans="2:17" x14ac:dyDescent="0.25">
      <c r="B29" s="66" t="s">
        <v>255</v>
      </c>
      <c r="D29" s="145">
        <f t="shared" ref="D29:Q29" si="7" xml:space="preserve"> D14*MIN(D23/D25,D18/D19)+D15*MIN(D24/D25,D18/D19)</f>
        <v>0.6166666666666667</v>
      </c>
      <c r="E29" s="145">
        <f t="shared" si="7"/>
        <v>0.77083333333333337</v>
      </c>
      <c r="F29" s="145">
        <f t="shared" si="7"/>
        <v>0.92500000000000004</v>
      </c>
      <c r="G29" s="145">
        <f t="shared" si="7"/>
        <v>1.0791666666666668</v>
      </c>
      <c r="H29" s="145">
        <f t="shared" si="7"/>
        <v>1.2333333333333334</v>
      </c>
      <c r="I29" s="145">
        <f t="shared" si="7"/>
        <v>1.3875</v>
      </c>
      <c r="J29" s="145">
        <f t="shared" si="7"/>
        <v>1.5416666666666667</v>
      </c>
      <c r="K29" s="145">
        <f t="shared" si="7"/>
        <v>1.6958333333333335</v>
      </c>
      <c r="L29" s="145">
        <f t="shared" si="7"/>
        <v>1.85</v>
      </c>
      <c r="M29" s="145">
        <f t="shared" si="7"/>
        <v>2.0208333333333335</v>
      </c>
      <c r="N29" s="145">
        <f t="shared" si="7"/>
        <v>2.1916666666666669</v>
      </c>
      <c r="O29" s="145">
        <f t="shared" si="7"/>
        <v>2.3624999999999998</v>
      </c>
      <c r="P29" s="145">
        <f t="shared" si="7"/>
        <v>2.5333333333333332</v>
      </c>
      <c r="Q29" s="145">
        <f t="shared" si="7"/>
        <v>0.68333333333333335</v>
      </c>
    </row>
    <row r="33" spans="2:2" x14ac:dyDescent="0.25">
      <c r="B33" s="116" t="s">
        <v>6</v>
      </c>
    </row>
    <row r="34" spans="2:2" ht="15" customHeight="1" x14ac:dyDescent="0.25">
      <c r="B34" s="227" t="s">
        <v>273</v>
      </c>
    </row>
    <row r="35" spans="2:2" ht="15" customHeight="1" x14ac:dyDescent="0.25">
      <c r="B35" s="227"/>
    </row>
    <row r="36" spans="2:2" ht="15" customHeight="1" x14ac:dyDescent="0.25">
      <c r="B36" s="227" t="s">
        <v>274</v>
      </c>
    </row>
    <row r="37" spans="2:2" ht="15" customHeight="1" x14ac:dyDescent="0.25">
      <c r="B37" s="227"/>
    </row>
    <row r="38" spans="2:2" ht="15" customHeight="1" x14ac:dyDescent="0.25">
      <c r="B38" s="116" t="s">
        <v>216</v>
      </c>
    </row>
    <row r="39" spans="2:2" ht="15" customHeight="1" x14ac:dyDescent="0.25">
      <c r="B39" s="226" t="s">
        <v>215</v>
      </c>
    </row>
    <row r="40" spans="2:2" ht="15" customHeight="1" x14ac:dyDescent="0.25">
      <c r="B40" s="226"/>
    </row>
    <row r="42" spans="2:2" ht="15" customHeight="1" x14ac:dyDescent="0.25">
      <c r="B42" s="19"/>
    </row>
    <row r="43" spans="2:2" ht="15" customHeight="1" x14ac:dyDescent="0.25">
      <c r="B43" s="165"/>
    </row>
    <row r="44" spans="2:2" x14ac:dyDescent="0.25">
      <c r="B44" s="165"/>
    </row>
    <row r="45" spans="2:2" x14ac:dyDescent="0.25">
      <c r="B45" s="165"/>
    </row>
    <row r="46" spans="2:2" x14ac:dyDescent="0.25">
      <c r="B46" s="165"/>
    </row>
    <row r="47" spans="2:2" x14ac:dyDescent="0.25">
      <c r="B47" s="165"/>
    </row>
    <row r="53" spans="2:3" ht="15" customHeight="1" x14ac:dyDescent="0.25">
      <c r="B53" s="29"/>
    </row>
    <row r="57" spans="2:3" hidden="1" x14ac:dyDescent="0.25">
      <c r="C57">
        <v>0</v>
      </c>
    </row>
    <row r="58" spans="2:3" hidden="1" x14ac:dyDescent="0.25">
      <c r="C58">
        <v>0.5</v>
      </c>
    </row>
    <row r="59" spans="2:3" hidden="1" x14ac:dyDescent="0.25">
      <c r="C59">
        <v>1</v>
      </c>
    </row>
    <row r="60" spans="2:3" hidden="1" x14ac:dyDescent="0.25">
      <c r="C60">
        <v>1.5</v>
      </c>
    </row>
    <row r="61" spans="2:3" hidden="1" x14ac:dyDescent="0.25">
      <c r="C61">
        <v>2</v>
      </c>
    </row>
    <row r="62" spans="2:3" hidden="1" x14ac:dyDescent="0.25">
      <c r="C62">
        <v>2.5</v>
      </c>
    </row>
    <row r="63" spans="2:3" hidden="1" x14ac:dyDescent="0.25">
      <c r="C63">
        <v>3</v>
      </c>
    </row>
    <row r="64" spans="2:3" hidden="1" x14ac:dyDescent="0.25">
      <c r="C64">
        <v>3.5</v>
      </c>
    </row>
    <row r="65" spans="3:3" hidden="1" x14ac:dyDescent="0.25">
      <c r="C65">
        <v>4</v>
      </c>
    </row>
    <row r="66" spans="3:3" hidden="1" x14ac:dyDescent="0.25">
      <c r="C66">
        <v>4.5</v>
      </c>
    </row>
    <row r="67" spans="3:3" hidden="1" x14ac:dyDescent="0.25">
      <c r="C67">
        <v>5</v>
      </c>
    </row>
    <row r="68" spans="3:3" hidden="1" x14ac:dyDescent="0.25">
      <c r="C68">
        <v>5.5</v>
      </c>
    </row>
    <row r="69" spans="3:3" hidden="1" x14ac:dyDescent="0.25">
      <c r="C69">
        <v>6</v>
      </c>
    </row>
    <row r="70" spans="3:3" hidden="1" x14ac:dyDescent="0.25">
      <c r="C70">
        <v>6.5</v>
      </c>
    </row>
    <row r="71" spans="3:3" hidden="1" x14ac:dyDescent="0.25">
      <c r="C71">
        <v>7</v>
      </c>
    </row>
    <row r="72" spans="3:3" hidden="1" x14ac:dyDescent="0.25">
      <c r="C72">
        <v>7.5</v>
      </c>
    </row>
    <row r="73" spans="3:3" hidden="1" x14ac:dyDescent="0.25">
      <c r="C73">
        <v>8</v>
      </c>
    </row>
    <row r="74" spans="3:3" hidden="1" x14ac:dyDescent="0.25">
      <c r="C74">
        <v>8.5</v>
      </c>
    </row>
    <row r="75" spans="3:3" hidden="1" x14ac:dyDescent="0.25">
      <c r="C75">
        <v>9</v>
      </c>
    </row>
    <row r="76" spans="3:3" hidden="1" x14ac:dyDescent="0.25">
      <c r="C76">
        <v>9.5</v>
      </c>
    </row>
    <row r="77" spans="3:3" hidden="1" x14ac:dyDescent="0.25">
      <c r="C77">
        <v>10</v>
      </c>
    </row>
    <row r="116" ht="30" customHeight="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sheetData>
  <sheetProtection algorithmName="SHA-512" hashValue="aWaHEgIYICSVLON/wDgQjqNUHnGJaUfevgTg4N4jjuEnyi002P8ZCAvBZ/lwAm8DNYG+s9cVbVmp0iNnT4FMgQ==" saltValue="Gq7SWWtgL7hQxx22nJv15g==" spinCount="100000" sheet="1" objects="1" scenarios="1"/>
  <mergeCells count="4">
    <mergeCell ref="B2:G3"/>
    <mergeCell ref="B34:B35"/>
    <mergeCell ref="B36:B37"/>
    <mergeCell ref="B39:B40"/>
  </mergeCells>
  <dataValidations count="1">
    <dataValidation type="list" allowBlank="1" showInputMessage="1" showErrorMessage="1" sqref="Q11:Q12" xr:uid="{00000000-0002-0000-0300-000000000000}">
      <formula1>liczby010</formula1>
    </dataValidation>
  </dataValidations>
  <pageMargins left="0.7" right="0.7" top="0.75" bottom="0.75" header="0.3" footer="0.3"/>
  <pageSetup paperSize="9" orientation="portrait"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W174"/>
  <sheetViews>
    <sheetView workbookViewId="0">
      <selection activeCell="B2" sqref="B2:G3"/>
    </sheetView>
  </sheetViews>
  <sheetFormatPr defaultRowHeight="15" x14ac:dyDescent="0.25"/>
  <cols>
    <col min="2" max="2" width="63.28515625" customWidth="1"/>
    <col min="3" max="23" width="27.42578125" customWidth="1"/>
  </cols>
  <sheetData>
    <row r="2" spans="2:23" x14ac:dyDescent="0.25">
      <c r="B2" s="226" t="s">
        <v>318</v>
      </c>
      <c r="C2" s="226"/>
      <c r="D2" s="226"/>
      <c r="E2" s="226"/>
      <c r="F2" s="226"/>
      <c r="G2" s="226"/>
    </row>
    <row r="3" spans="2:23" x14ac:dyDescent="0.25">
      <c r="B3" s="226"/>
      <c r="C3" s="226"/>
      <c r="D3" s="226"/>
      <c r="E3" s="226"/>
      <c r="F3" s="226"/>
      <c r="G3" s="226"/>
    </row>
    <row r="4" spans="2:23" x14ac:dyDescent="0.25">
      <c r="B4" s="156"/>
    </row>
    <row r="5" spans="2:23" x14ac:dyDescent="0.25">
      <c r="B5" t="s">
        <v>40</v>
      </c>
      <c r="C5" s="65" t="s">
        <v>88</v>
      </c>
      <c r="D5" s="157">
        <v>1</v>
      </c>
      <c r="E5" s="157">
        <v>2</v>
      </c>
      <c r="F5" s="157">
        <v>3</v>
      </c>
      <c r="G5" s="157">
        <v>4</v>
      </c>
      <c r="H5" s="157">
        <v>5</v>
      </c>
      <c r="I5" s="157">
        <v>6</v>
      </c>
      <c r="J5" s="157">
        <v>7</v>
      </c>
      <c r="K5" s="157">
        <v>8</v>
      </c>
      <c r="L5" s="157">
        <v>9</v>
      </c>
      <c r="M5" s="157">
        <v>10</v>
      </c>
      <c r="N5" s="157">
        <v>11</v>
      </c>
      <c r="O5" s="157">
        <v>12</v>
      </c>
      <c r="P5" s="157">
        <v>13</v>
      </c>
      <c r="Q5" s="157">
        <v>14</v>
      </c>
      <c r="R5" s="157">
        <v>15</v>
      </c>
      <c r="S5" s="157">
        <v>16</v>
      </c>
      <c r="T5" s="164">
        <v>17</v>
      </c>
      <c r="U5" s="164">
        <v>18</v>
      </c>
      <c r="V5" s="164">
        <v>19</v>
      </c>
      <c r="W5" s="157">
        <v>20</v>
      </c>
    </row>
    <row r="6" spans="2:23" s="1" customFormat="1" ht="84.95" customHeight="1" x14ac:dyDescent="0.25">
      <c r="B6" s="1" t="s">
        <v>0</v>
      </c>
      <c r="C6" s="51" t="s">
        <v>88</v>
      </c>
      <c r="E6" s="138"/>
      <c r="G6" s="138"/>
      <c r="I6" s="138"/>
      <c r="K6" s="138"/>
      <c r="N6" s="138"/>
      <c r="O6" s="138"/>
      <c r="P6" s="179"/>
      <c r="R6" s="138"/>
      <c r="W6" s="127" t="s">
        <v>244</v>
      </c>
    </row>
    <row r="7" spans="2:23" x14ac:dyDescent="0.25">
      <c r="B7" s="1" t="s">
        <v>1</v>
      </c>
      <c r="W7" s="41"/>
    </row>
    <row r="8" spans="2:23" x14ac:dyDescent="0.25">
      <c r="B8" s="3" t="s">
        <v>2</v>
      </c>
      <c r="C8" s="195">
        <v>1.2</v>
      </c>
      <c r="D8" s="34">
        <f>C8</f>
        <v>1.2</v>
      </c>
      <c r="E8" s="34">
        <f>C8</f>
        <v>1.2</v>
      </c>
      <c r="F8" s="34">
        <f>C8</f>
        <v>1.2</v>
      </c>
      <c r="G8" s="34">
        <f>C8</f>
        <v>1.2</v>
      </c>
      <c r="H8" s="34">
        <f>C8</f>
        <v>1.2</v>
      </c>
      <c r="I8" s="34">
        <f>C8</f>
        <v>1.2</v>
      </c>
      <c r="J8" s="34">
        <f>C8</f>
        <v>1.2</v>
      </c>
      <c r="K8" s="34">
        <f>C8</f>
        <v>1.2</v>
      </c>
      <c r="L8" s="34">
        <f>C8</f>
        <v>1.2</v>
      </c>
      <c r="M8" s="34">
        <f>C8</f>
        <v>1.2</v>
      </c>
      <c r="N8" s="34">
        <f>C8</f>
        <v>1.2</v>
      </c>
      <c r="O8" s="34">
        <f>C8</f>
        <v>1.2</v>
      </c>
      <c r="P8" s="34">
        <f>C8</f>
        <v>1.2</v>
      </c>
      <c r="Q8" s="34">
        <f>C8</f>
        <v>1.2</v>
      </c>
      <c r="R8" s="35">
        <f>C8</f>
        <v>1.2</v>
      </c>
      <c r="S8" s="35">
        <f>C8</f>
        <v>1.2</v>
      </c>
      <c r="T8" s="35">
        <f>C8</f>
        <v>1.2</v>
      </c>
      <c r="U8" s="35">
        <f>C8</f>
        <v>1.2</v>
      </c>
      <c r="V8" s="35">
        <f>C8</f>
        <v>1.2</v>
      </c>
      <c r="W8" s="36">
        <f>C8</f>
        <v>1.2</v>
      </c>
    </row>
    <row r="9" spans="2:23" x14ac:dyDescent="0.25">
      <c r="B9" s="3" t="s">
        <v>3</v>
      </c>
      <c r="C9" s="195">
        <v>0.2</v>
      </c>
      <c r="D9" s="34">
        <f>C9</f>
        <v>0.2</v>
      </c>
      <c r="E9" s="34">
        <f>C9</f>
        <v>0.2</v>
      </c>
      <c r="F9" s="34">
        <f>C9</f>
        <v>0.2</v>
      </c>
      <c r="G9" s="34">
        <f>C9</f>
        <v>0.2</v>
      </c>
      <c r="H9" s="34">
        <f>C9</f>
        <v>0.2</v>
      </c>
      <c r="I9" s="34">
        <f>C9</f>
        <v>0.2</v>
      </c>
      <c r="J9" s="34">
        <f>C9</f>
        <v>0.2</v>
      </c>
      <c r="K9" s="34">
        <f>C9</f>
        <v>0.2</v>
      </c>
      <c r="L9" s="34">
        <f>C9</f>
        <v>0.2</v>
      </c>
      <c r="M9" s="34">
        <f>C9</f>
        <v>0.2</v>
      </c>
      <c r="N9" s="34">
        <f>C9</f>
        <v>0.2</v>
      </c>
      <c r="O9" s="34">
        <f>C9</f>
        <v>0.2</v>
      </c>
      <c r="P9" s="34">
        <f>C9</f>
        <v>0.2</v>
      </c>
      <c r="Q9" s="34">
        <f>C9</f>
        <v>0.2</v>
      </c>
      <c r="R9" s="35">
        <f>C9</f>
        <v>0.2</v>
      </c>
      <c r="S9" s="35">
        <f>C9</f>
        <v>0.2</v>
      </c>
      <c r="T9" s="35">
        <f>C9</f>
        <v>0.2</v>
      </c>
      <c r="U9" s="35">
        <f>C9</f>
        <v>0.2</v>
      </c>
      <c r="V9" s="35">
        <f>C9</f>
        <v>0.2</v>
      </c>
      <c r="W9" s="36">
        <f>C9</f>
        <v>0.2</v>
      </c>
    </row>
    <row r="10" spans="2:23" x14ac:dyDescent="0.25">
      <c r="B10" s="162" t="s">
        <v>285</v>
      </c>
    </row>
    <row r="11" spans="2:23" x14ac:dyDescent="0.25">
      <c r="B11" s="3" t="s">
        <v>4</v>
      </c>
      <c r="C11" s="51" t="s">
        <v>88</v>
      </c>
      <c r="D11" s="33">
        <f>D12+D13</f>
        <v>1</v>
      </c>
      <c r="E11" s="33">
        <f t="shared" ref="E11:I11" si="0">E12+E13</f>
        <v>1</v>
      </c>
      <c r="F11" s="33">
        <f t="shared" si="0"/>
        <v>2</v>
      </c>
      <c r="G11" s="33">
        <f t="shared" si="0"/>
        <v>2</v>
      </c>
      <c r="H11" s="33">
        <f t="shared" si="0"/>
        <v>2</v>
      </c>
      <c r="I11" s="33">
        <f t="shared" si="0"/>
        <v>3</v>
      </c>
      <c r="J11" s="33">
        <f>J12+J13</f>
        <v>3</v>
      </c>
      <c r="K11" s="33">
        <f t="shared" ref="K11" si="1">K12+K13</f>
        <v>4</v>
      </c>
      <c r="L11" s="33">
        <f t="shared" ref="L11" si="2">L12+L13</f>
        <v>4</v>
      </c>
      <c r="M11" s="33">
        <f t="shared" ref="M11" si="3">M12+M13</f>
        <v>5</v>
      </c>
      <c r="N11" s="33">
        <f t="shared" ref="N11" si="4">N12+N13</f>
        <v>5</v>
      </c>
      <c r="O11" s="33">
        <f t="shared" ref="O11" si="5">O12+O13</f>
        <v>5</v>
      </c>
      <c r="P11" s="33">
        <f>P12+P13</f>
        <v>1</v>
      </c>
      <c r="Q11" s="33">
        <f t="shared" ref="Q11" si="6">Q12+Q13</f>
        <v>2</v>
      </c>
      <c r="R11" s="33">
        <f t="shared" ref="R11" si="7">R12+R13</f>
        <v>2</v>
      </c>
      <c r="S11" s="33">
        <f t="shared" ref="S11:V11" si="8">S12+S13</f>
        <v>2</v>
      </c>
      <c r="T11" s="33">
        <f t="shared" si="8"/>
        <v>3</v>
      </c>
      <c r="U11" s="33">
        <f t="shared" si="8"/>
        <v>3</v>
      </c>
      <c r="V11" s="33">
        <f t="shared" si="8"/>
        <v>4</v>
      </c>
      <c r="W11" s="36">
        <f>W12+W13</f>
        <v>5</v>
      </c>
    </row>
    <row r="12" spans="2:23" x14ac:dyDescent="0.25">
      <c r="B12" s="3" t="s">
        <v>242</v>
      </c>
      <c r="C12" s="51" t="s">
        <v>88</v>
      </c>
      <c r="D12" s="33">
        <v>0</v>
      </c>
      <c r="E12" s="33">
        <v>0</v>
      </c>
      <c r="F12" s="33">
        <v>1</v>
      </c>
      <c r="G12" s="33">
        <v>1</v>
      </c>
      <c r="H12" s="33">
        <v>1</v>
      </c>
      <c r="I12" s="33">
        <v>2</v>
      </c>
      <c r="J12" s="33">
        <v>2</v>
      </c>
      <c r="K12" s="33">
        <v>3</v>
      </c>
      <c r="L12" s="33">
        <v>3</v>
      </c>
      <c r="M12" s="33">
        <v>4</v>
      </c>
      <c r="N12" s="33">
        <v>4</v>
      </c>
      <c r="O12" s="33">
        <v>4</v>
      </c>
      <c r="P12" s="33">
        <v>1</v>
      </c>
      <c r="Q12" s="33">
        <v>2</v>
      </c>
      <c r="R12" s="33">
        <v>2</v>
      </c>
      <c r="S12" s="33">
        <v>2</v>
      </c>
      <c r="T12" s="33">
        <v>3</v>
      </c>
      <c r="U12" s="33">
        <v>3</v>
      </c>
      <c r="V12" s="33">
        <v>4</v>
      </c>
      <c r="W12" s="198">
        <v>2</v>
      </c>
    </row>
    <row r="13" spans="2:23" x14ac:dyDescent="0.25">
      <c r="B13" s="3" t="s">
        <v>243</v>
      </c>
      <c r="C13" s="51" t="s">
        <v>88</v>
      </c>
      <c r="D13" s="33">
        <v>1</v>
      </c>
      <c r="E13" s="33">
        <v>1</v>
      </c>
      <c r="F13" s="33">
        <v>1</v>
      </c>
      <c r="G13" s="33">
        <v>1</v>
      </c>
      <c r="H13" s="33">
        <v>1</v>
      </c>
      <c r="I13" s="33">
        <v>1</v>
      </c>
      <c r="J13" s="33">
        <v>1</v>
      </c>
      <c r="K13" s="33">
        <v>1</v>
      </c>
      <c r="L13" s="33">
        <v>1</v>
      </c>
      <c r="M13" s="33">
        <v>1</v>
      </c>
      <c r="N13" s="33">
        <v>1</v>
      </c>
      <c r="O13" s="33">
        <v>1</v>
      </c>
      <c r="P13" s="33">
        <v>0</v>
      </c>
      <c r="Q13" s="33">
        <v>0</v>
      </c>
      <c r="R13" s="33">
        <v>0</v>
      </c>
      <c r="S13" s="33">
        <v>0</v>
      </c>
      <c r="T13" s="33">
        <v>0</v>
      </c>
      <c r="U13" s="33">
        <v>0</v>
      </c>
      <c r="V13" s="33">
        <v>0</v>
      </c>
      <c r="W13" s="198">
        <v>3</v>
      </c>
    </row>
    <row r="14" spans="2:23" x14ac:dyDescent="0.25">
      <c r="B14" s="162" t="s">
        <v>286</v>
      </c>
    </row>
    <row r="15" spans="2:23" x14ac:dyDescent="0.25">
      <c r="B15" s="3" t="s">
        <v>4</v>
      </c>
      <c r="C15" s="51" t="s">
        <v>88</v>
      </c>
      <c r="D15" s="33">
        <f>D16+D17</f>
        <v>1</v>
      </c>
      <c r="E15" s="33">
        <f t="shared" ref="E15:V15" si="9">E16+E17</f>
        <v>1</v>
      </c>
      <c r="F15" s="33">
        <f t="shared" si="9"/>
        <v>1</v>
      </c>
      <c r="G15" s="33">
        <f t="shared" si="9"/>
        <v>2</v>
      </c>
      <c r="H15" s="33">
        <f t="shared" si="9"/>
        <v>2</v>
      </c>
      <c r="I15" s="33">
        <f t="shared" si="9"/>
        <v>2</v>
      </c>
      <c r="J15" s="33">
        <f t="shared" si="9"/>
        <v>2</v>
      </c>
      <c r="K15" s="33">
        <f t="shared" si="9"/>
        <v>2</v>
      </c>
      <c r="L15" s="33">
        <f t="shared" si="9"/>
        <v>2</v>
      </c>
      <c r="M15" s="33">
        <f t="shared" si="9"/>
        <v>2</v>
      </c>
      <c r="N15" s="33">
        <f t="shared" si="9"/>
        <v>2</v>
      </c>
      <c r="O15" s="33">
        <f t="shared" si="9"/>
        <v>3</v>
      </c>
      <c r="P15" s="33">
        <f t="shared" si="9"/>
        <v>1</v>
      </c>
      <c r="Q15" s="33">
        <f t="shared" si="9"/>
        <v>1</v>
      </c>
      <c r="R15" s="33">
        <f t="shared" si="9"/>
        <v>2</v>
      </c>
      <c r="S15" s="33">
        <f t="shared" si="9"/>
        <v>3</v>
      </c>
      <c r="T15" s="33">
        <f t="shared" si="9"/>
        <v>3</v>
      </c>
      <c r="U15" s="33">
        <f t="shared" si="9"/>
        <v>4</v>
      </c>
      <c r="V15" s="33">
        <f t="shared" si="9"/>
        <v>4</v>
      </c>
      <c r="W15" s="36">
        <f>W16+W17</f>
        <v>5</v>
      </c>
    </row>
    <row r="16" spans="2:23" x14ac:dyDescent="0.25">
      <c r="B16" s="3" t="s">
        <v>242</v>
      </c>
      <c r="C16" s="51" t="s">
        <v>88</v>
      </c>
      <c r="D16" s="33">
        <v>0</v>
      </c>
      <c r="E16" s="33">
        <v>0</v>
      </c>
      <c r="F16" s="33">
        <v>0</v>
      </c>
      <c r="G16" s="33">
        <v>1</v>
      </c>
      <c r="H16" s="33">
        <v>1</v>
      </c>
      <c r="I16" s="33">
        <v>1</v>
      </c>
      <c r="J16" s="33">
        <v>1</v>
      </c>
      <c r="K16" s="33">
        <v>1</v>
      </c>
      <c r="L16" s="33">
        <v>1</v>
      </c>
      <c r="M16" s="33">
        <v>1</v>
      </c>
      <c r="N16" s="33">
        <v>1</v>
      </c>
      <c r="O16" s="33">
        <v>2</v>
      </c>
      <c r="P16" s="33">
        <v>1</v>
      </c>
      <c r="Q16" s="33">
        <v>1</v>
      </c>
      <c r="R16" s="33">
        <v>2</v>
      </c>
      <c r="S16" s="33">
        <v>3</v>
      </c>
      <c r="T16" s="33">
        <v>3</v>
      </c>
      <c r="U16" s="33">
        <v>4</v>
      </c>
      <c r="V16" s="33">
        <v>4</v>
      </c>
      <c r="W16" s="198">
        <v>2</v>
      </c>
    </row>
    <row r="17" spans="2:23" x14ac:dyDescent="0.25">
      <c r="B17" s="3" t="s">
        <v>243</v>
      </c>
      <c r="C17" s="51" t="s">
        <v>88</v>
      </c>
      <c r="D17" s="33">
        <v>1</v>
      </c>
      <c r="E17" s="33">
        <v>1</v>
      </c>
      <c r="F17" s="33">
        <v>1</v>
      </c>
      <c r="G17" s="33">
        <v>1</v>
      </c>
      <c r="H17" s="33">
        <v>1</v>
      </c>
      <c r="I17" s="33">
        <v>1</v>
      </c>
      <c r="J17" s="33">
        <v>1</v>
      </c>
      <c r="K17" s="33">
        <v>1</v>
      </c>
      <c r="L17" s="33">
        <v>1</v>
      </c>
      <c r="M17" s="33">
        <v>1</v>
      </c>
      <c r="N17" s="33">
        <v>1</v>
      </c>
      <c r="O17" s="33">
        <v>1</v>
      </c>
      <c r="P17" s="33">
        <v>0</v>
      </c>
      <c r="Q17" s="33">
        <v>0</v>
      </c>
      <c r="R17" s="33">
        <v>0</v>
      </c>
      <c r="S17" s="33">
        <v>0</v>
      </c>
      <c r="T17" s="33">
        <v>0</v>
      </c>
      <c r="U17" s="33">
        <v>0</v>
      </c>
      <c r="V17" s="33">
        <v>0</v>
      </c>
      <c r="W17" s="198">
        <v>3</v>
      </c>
    </row>
    <row r="18" spans="2:23" x14ac:dyDescent="0.25">
      <c r="B18" s="162" t="s">
        <v>287</v>
      </c>
    </row>
    <row r="19" spans="2:23" x14ac:dyDescent="0.25">
      <c r="B19" s="3" t="s">
        <v>4</v>
      </c>
      <c r="C19" s="51" t="s">
        <v>88</v>
      </c>
      <c r="D19" s="33">
        <f>D20+D21</f>
        <v>1</v>
      </c>
      <c r="E19" s="33">
        <f t="shared" ref="E19:V19" si="10">E20+E21</f>
        <v>2</v>
      </c>
      <c r="F19" s="33">
        <f t="shared" si="10"/>
        <v>2</v>
      </c>
      <c r="G19" s="33">
        <f t="shared" si="10"/>
        <v>2</v>
      </c>
      <c r="H19" s="33">
        <f t="shared" si="10"/>
        <v>2</v>
      </c>
      <c r="I19" s="33">
        <f t="shared" si="10"/>
        <v>2</v>
      </c>
      <c r="J19" s="33">
        <f t="shared" si="10"/>
        <v>3</v>
      </c>
      <c r="K19" s="33">
        <f t="shared" si="10"/>
        <v>3</v>
      </c>
      <c r="L19" s="33">
        <f t="shared" si="10"/>
        <v>4</v>
      </c>
      <c r="M19" s="33">
        <f t="shared" si="10"/>
        <v>4</v>
      </c>
      <c r="N19" s="33">
        <f t="shared" si="10"/>
        <v>5</v>
      </c>
      <c r="O19" s="33">
        <f t="shared" si="10"/>
        <v>5</v>
      </c>
      <c r="P19" s="33">
        <f t="shared" si="10"/>
        <v>1</v>
      </c>
      <c r="Q19" s="33">
        <f t="shared" si="10"/>
        <v>2</v>
      </c>
      <c r="R19" s="33">
        <f t="shared" si="10"/>
        <v>2</v>
      </c>
      <c r="S19" s="33">
        <f t="shared" si="10"/>
        <v>2</v>
      </c>
      <c r="T19" s="33">
        <f t="shared" si="10"/>
        <v>3</v>
      </c>
      <c r="U19" s="33">
        <f t="shared" si="10"/>
        <v>3</v>
      </c>
      <c r="V19" s="33">
        <f t="shared" si="10"/>
        <v>4</v>
      </c>
      <c r="W19" s="36">
        <f>W20+W21</f>
        <v>5</v>
      </c>
    </row>
    <row r="20" spans="2:23" x14ac:dyDescent="0.25">
      <c r="B20" s="3" t="s">
        <v>242</v>
      </c>
      <c r="C20" s="51" t="s">
        <v>88</v>
      </c>
      <c r="D20" s="33">
        <v>0</v>
      </c>
      <c r="E20" s="33">
        <v>1</v>
      </c>
      <c r="F20" s="33">
        <v>1</v>
      </c>
      <c r="G20" s="33">
        <v>1</v>
      </c>
      <c r="H20" s="33">
        <v>1</v>
      </c>
      <c r="I20" s="33">
        <v>1</v>
      </c>
      <c r="J20" s="33">
        <v>2</v>
      </c>
      <c r="K20" s="33">
        <v>2</v>
      </c>
      <c r="L20" s="33">
        <v>3</v>
      </c>
      <c r="M20" s="33">
        <v>3</v>
      </c>
      <c r="N20" s="33">
        <v>4</v>
      </c>
      <c r="O20" s="33">
        <v>4</v>
      </c>
      <c r="P20" s="33">
        <v>1</v>
      </c>
      <c r="Q20" s="33">
        <v>2</v>
      </c>
      <c r="R20" s="33">
        <v>2</v>
      </c>
      <c r="S20" s="33">
        <v>2</v>
      </c>
      <c r="T20" s="33">
        <v>3</v>
      </c>
      <c r="U20" s="33">
        <v>3</v>
      </c>
      <c r="V20" s="33">
        <v>4</v>
      </c>
      <c r="W20" s="198">
        <v>2</v>
      </c>
    </row>
    <row r="21" spans="2:23" x14ac:dyDescent="0.25">
      <c r="B21" s="3" t="s">
        <v>243</v>
      </c>
      <c r="C21" s="51" t="s">
        <v>88</v>
      </c>
      <c r="D21" s="33">
        <v>1</v>
      </c>
      <c r="E21" s="33">
        <v>1</v>
      </c>
      <c r="F21" s="33">
        <v>1</v>
      </c>
      <c r="G21" s="33">
        <v>1</v>
      </c>
      <c r="H21" s="33">
        <v>1</v>
      </c>
      <c r="I21" s="33">
        <v>1</v>
      </c>
      <c r="J21" s="33">
        <v>1</v>
      </c>
      <c r="K21" s="33">
        <v>1</v>
      </c>
      <c r="L21" s="33">
        <v>1</v>
      </c>
      <c r="M21" s="33">
        <v>1</v>
      </c>
      <c r="N21" s="33">
        <v>1</v>
      </c>
      <c r="O21" s="33">
        <v>1</v>
      </c>
      <c r="P21" s="33">
        <v>0</v>
      </c>
      <c r="Q21" s="33">
        <v>0</v>
      </c>
      <c r="R21" s="33">
        <v>0</v>
      </c>
      <c r="S21" s="33">
        <v>0</v>
      </c>
      <c r="T21" s="33">
        <v>0</v>
      </c>
      <c r="U21" s="33">
        <v>0</v>
      </c>
      <c r="V21" s="33">
        <v>0</v>
      </c>
      <c r="W21" s="198">
        <v>3</v>
      </c>
    </row>
    <row r="22" spans="2:23" x14ac:dyDescent="0.25">
      <c r="B22" s="162" t="s">
        <v>288</v>
      </c>
    </row>
    <row r="23" spans="2:23" x14ac:dyDescent="0.25">
      <c r="B23" s="3" t="s">
        <v>4</v>
      </c>
      <c r="C23" s="51" t="s">
        <v>88</v>
      </c>
      <c r="D23" s="33">
        <f>D24+D25</f>
        <v>1</v>
      </c>
      <c r="E23" s="33">
        <f t="shared" ref="E23:V23" si="11">E24+E25</f>
        <v>1</v>
      </c>
      <c r="F23" s="33">
        <f t="shared" si="11"/>
        <v>1</v>
      </c>
      <c r="G23" s="33">
        <f t="shared" si="11"/>
        <v>1</v>
      </c>
      <c r="H23" s="33">
        <f t="shared" si="11"/>
        <v>2</v>
      </c>
      <c r="I23" s="33">
        <f t="shared" si="11"/>
        <v>2</v>
      </c>
      <c r="J23" s="33">
        <f t="shared" si="11"/>
        <v>2</v>
      </c>
      <c r="K23" s="33">
        <f t="shared" si="11"/>
        <v>2</v>
      </c>
      <c r="L23" s="33">
        <f t="shared" si="11"/>
        <v>2</v>
      </c>
      <c r="M23" s="33">
        <f t="shared" si="11"/>
        <v>2</v>
      </c>
      <c r="N23" s="33">
        <f t="shared" si="11"/>
        <v>2</v>
      </c>
      <c r="O23" s="33">
        <f t="shared" si="11"/>
        <v>2</v>
      </c>
      <c r="P23" s="33">
        <f t="shared" si="11"/>
        <v>1</v>
      </c>
      <c r="Q23" s="33">
        <f t="shared" si="11"/>
        <v>1</v>
      </c>
      <c r="R23" s="33">
        <f t="shared" si="11"/>
        <v>2</v>
      </c>
      <c r="S23" s="33">
        <f t="shared" si="11"/>
        <v>3</v>
      </c>
      <c r="T23" s="33">
        <f t="shared" si="11"/>
        <v>3</v>
      </c>
      <c r="U23" s="33">
        <f t="shared" si="11"/>
        <v>4</v>
      </c>
      <c r="V23" s="33">
        <f t="shared" si="11"/>
        <v>4</v>
      </c>
      <c r="W23" s="36">
        <f>W24+W25</f>
        <v>5</v>
      </c>
    </row>
    <row r="24" spans="2:23" x14ac:dyDescent="0.25">
      <c r="B24" s="3" t="s">
        <v>242</v>
      </c>
      <c r="C24" s="51" t="s">
        <v>88</v>
      </c>
      <c r="D24" s="33">
        <v>0</v>
      </c>
      <c r="E24" s="33">
        <v>0</v>
      </c>
      <c r="F24" s="33">
        <v>0</v>
      </c>
      <c r="G24" s="33">
        <v>0</v>
      </c>
      <c r="H24" s="33">
        <v>1</v>
      </c>
      <c r="I24" s="33">
        <v>1</v>
      </c>
      <c r="J24" s="33">
        <v>1</v>
      </c>
      <c r="K24" s="33">
        <v>1</v>
      </c>
      <c r="L24" s="33">
        <v>1</v>
      </c>
      <c r="M24" s="33">
        <v>1</v>
      </c>
      <c r="N24" s="33">
        <v>1</v>
      </c>
      <c r="O24" s="33">
        <v>1</v>
      </c>
      <c r="P24" s="33">
        <v>1</v>
      </c>
      <c r="Q24" s="33">
        <v>1</v>
      </c>
      <c r="R24" s="33">
        <v>2</v>
      </c>
      <c r="S24" s="33">
        <v>3</v>
      </c>
      <c r="T24" s="33">
        <v>3</v>
      </c>
      <c r="U24" s="33">
        <v>4</v>
      </c>
      <c r="V24" s="33">
        <v>4</v>
      </c>
      <c r="W24" s="198">
        <v>2</v>
      </c>
    </row>
    <row r="25" spans="2:23" x14ac:dyDescent="0.25">
      <c r="B25" s="3" t="s">
        <v>243</v>
      </c>
      <c r="C25" s="51" t="s">
        <v>88</v>
      </c>
      <c r="D25" s="33">
        <v>1</v>
      </c>
      <c r="E25" s="33">
        <v>1</v>
      </c>
      <c r="F25" s="33">
        <v>1</v>
      </c>
      <c r="G25" s="33">
        <v>1</v>
      </c>
      <c r="H25" s="33">
        <v>1</v>
      </c>
      <c r="I25" s="33">
        <v>1</v>
      </c>
      <c r="J25" s="33">
        <v>1</v>
      </c>
      <c r="K25" s="33">
        <v>1</v>
      </c>
      <c r="L25" s="33">
        <v>1</v>
      </c>
      <c r="M25" s="33">
        <v>1</v>
      </c>
      <c r="N25" s="33">
        <v>1</v>
      </c>
      <c r="O25" s="33">
        <v>1</v>
      </c>
      <c r="P25" s="33">
        <v>0</v>
      </c>
      <c r="Q25" s="33">
        <v>0</v>
      </c>
      <c r="R25" s="33">
        <v>0</v>
      </c>
      <c r="S25" s="33">
        <v>0</v>
      </c>
      <c r="T25" s="33">
        <v>0</v>
      </c>
      <c r="U25" s="33">
        <v>0</v>
      </c>
      <c r="V25" s="33">
        <v>0</v>
      </c>
      <c r="W25" s="198">
        <v>3</v>
      </c>
    </row>
    <row r="26" spans="2:23" x14ac:dyDescent="0.25">
      <c r="B26" s="3"/>
      <c r="C26" s="51"/>
      <c r="D26" s="33"/>
      <c r="E26" s="33"/>
      <c r="F26" s="33"/>
      <c r="G26" s="33"/>
      <c r="H26" s="33"/>
      <c r="I26" s="33"/>
      <c r="J26" s="33"/>
      <c r="K26" s="33"/>
      <c r="L26" s="33"/>
      <c r="M26" s="33"/>
      <c r="N26" s="33"/>
      <c r="O26" s="33"/>
      <c r="P26" s="33"/>
      <c r="Q26" s="33"/>
      <c r="R26" s="33"/>
      <c r="S26" s="33"/>
      <c r="T26" s="33"/>
      <c r="U26" s="33"/>
      <c r="V26" s="33"/>
    </row>
    <row r="27" spans="2:23" x14ac:dyDescent="0.25">
      <c r="B27" s="3" t="s">
        <v>212</v>
      </c>
      <c r="C27" s="51" t="s">
        <v>88</v>
      </c>
      <c r="D27" s="117">
        <f t="shared" ref="D27:W27" si="12">(D11+D15+D19+D23)/(4*D8*D9)</f>
        <v>4.166666666666667</v>
      </c>
      <c r="E27" s="117">
        <f t="shared" si="12"/>
        <v>5.2083333333333339</v>
      </c>
      <c r="F27" s="117">
        <f t="shared" si="12"/>
        <v>6.25</v>
      </c>
      <c r="G27" s="117">
        <f t="shared" si="12"/>
        <v>7.291666666666667</v>
      </c>
      <c r="H27" s="117">
        <f t="shared" si="12"/>
        <v>8.3333333333333339</v>
      </c>
      <c r="I27" s="117">
        <f t="shared" si="12"/>
        <v>9.375</v>
      </c>
      <c r="J27" s="117">
        <f t="shared" si="12"/>
        <v>10.416666666666668</v>
      </c>
      <c r="K27" s="117">
        <f t="shared" si="12"/>
        <v>11.458333333333334</v>
      </c>
      <c r="L27" s="117">
        <f t="shared" si="12"/>
        <v>12.5</v>
      </c>
      <c r="M27" s="117">
        <f t="shared" si="12"/>
        <v>13.541666666666668</v>
      </c>
      <c r="N27" s="117">
        <f t="shared" si="12"/>
        <v>14.583333333333334</v>
      </c>
      <c r="O27" s="117">
        <f t="shared" si="12"/>
        <v>15.625</v>
      </c>
      <c r="P27" s="117">
        <f t="shared" si="12"/>
        <v>4.166666666666667</v>
      </c>
      <c r="Q27" s="117">
        <f t="shared" si="12"/>
        <v>6.25</v>
      </c>
      <c r="R27" s="117">
        <f t="shared" si="12"/>
        <v>8.3333333333333339</v>
      </c>
      <c r="S27" s="117">
        <f t="shared" si="12"/>
        <v>10.416666666666668</v>
      </c>
      <c r="T27" s="117">
        <f t="shared" si="12"/>
        <v>12.5</v>
      </c>
      <c r="U27" s="117">
        <f t="shared" si="12"/>
        <v>14.583333333333334</v>
      </c>
      <c r="V27" s="117">
        <f t="shared" si="12"/>
        <v>16.666666666666668</v>
      </c>
      <c r="W27" s="117">
        <f t="shared" si="12"/>
        <v>20.833333333333336</v>
      </c>
    </row>
    <row r="28" spans="2:23" x14ac:dyDescent="0.25">
      <c r="B28" s="3" t="s">
        <v>278</v>
      </c>
      <c r="C28" s="51" t="s">
        <v>88</v>
      </c>
      <c r="D28" s="163">
        <f>(D12+D16+D20+D24)/(4*D8*D9)</f>
        <v>0</v>
      </c>
      <c r="E28" s="163">
        <f>(E12+E16+E20+E24)/(4*E8*E9)</f>
        <v>1.0416666666666667</v>
      </c>
      <c r="F28" s="163">
        <f>(F12+F16+F20+F24)/(4*F8*F9)</f>
        <v>2.0833333333333335</v>
      </c>
      <c r="G28" s="163">
        <f>(G12+G16+G20+G24)/(4*G8*G9)</f>
        <v>3.125</v>
      </c>
      <c r="H28" s="163">
        <f t="shared" ref="H28:N28" si="13">(H12+H16+H20+H24)/(4*H8*H9)</f>
        <v>4.166666666666667</v>
      </c>
      <c r="I28" s="163">
        <f t="shared" si="13"/>
        <v>5.2083333333333339</v>
      </c>
      <c r="J28" s="163">
        <f t="shared" si="13"/>
        <v>6.25</v>
      </c>
      <c r="K28" s="163">
        <f t="shared" si="13"/>
        <v>7.291666666666667</v>
      </c>
      <c r="L28" s="163">
        <f t="shared" si="13"/>
        <v>8.3333333333333339</v>
      </c>
      <c r="M28" s="163">
        <f t="shared" si="13"/>
        <v>9.375</v>
      </c>
      <c r="N28" s="163">
        <f t="shared" si="13"/>
        <v>10.416666666666668</v>
      </c>
      <c r="O28" s="163">
        <f>(O12+O16+O20+O24)/(4*O8*O9)</f>
        <v>11.458333333333334</v>
      </c>
      <c r="P28" s="163">
        <f>(P12+P16+P20+P24)/(4*P8*P9)</f>
        <v>4.166666666666667</v>
      </c>
      <c r="Q28" s="163">
        <f>(Q12+Q16+Q20+Q24)/(4*Q8*Q9)</f>
        <v>6.25</v>
      </c>
      <c r="R28" s="163">
        <f>(R12+R16+R20+R24)/(4*R8*R9)</f>
        <v>8.3333333333333339</v>
      </c>
      <c r="S28" s="163">
        <f t="shared" ref="S28:W28" si="14">(S12+S16+S20+S24)/(4*S8*S9)</f>
        <v>10.416666666666668</v>
      </c>
      <c r="T28" s="163">
        <f t="shared" si="14"/>
        <v>12.5</v>
      </c>
      <c r="U28" s="163">
        <f t="shared" si="14"/>
        <v>14.583333333333334</v>
      </c>
      <c r="V28" s="163">
        <f t="shared" si="14"/>
        <v>16.666666666666668</v>
      </c>
      <c r="W28" s="163">
        <f t="shared" si="14"/>
        <v>8.3333333333333339</v>
      </c>
    </row>
    <row r="29" spans="2:23" x14ac:dyDescent="0.25">
      <c r="B29" s="3" t="s">
        <v>279</v>
      </c>
      <c r="C29" s="51" t="s">
        <v>88</v>
      </c>
      <c r="D29" s="163">
        <f>(D13+D17+D21+D25)/(4*D8*D9)</f>
        <v>4.166666666666667</v>
      </c>
      <c r="E29" s="163">
        <f t="shared" ref="E29:W29" si="15">(E13+E17+E21+E25)/(4*E8*E9)</f>
        <v>4.166666666666667</v>
      </c>
      <c r="F29" s="163">
        <f t="shared" si="15"/>
        <v>4.166666666666667</v>
      </c>
      <c r="G29" s="163">
        <f t="shared" si="15"/>
        <v>4.166666666666667</v>
      </c>
      <c r="H29" s="163">
        <f t="shared" si="15"/>
        <v>4.166666666666667</v>
      </c>
      <c r="I29" s="163">
        <f t="shared" si="15"/>
        <v>4.166666666666667</v>
      </c>
      <c r="J29" s="163">
        <f t="shared" si="15"/>
        <v>4.166666666666667</v>
      </c>
      <c r="K29" s="163">
        <f t="shared" si="15"/>
        <v>4.166666666666667</v>
      </c>
      <c r="L29" s="163">
        <f t="shared" si="15"/>
        <v>4.166666666666667</v>
      </c>
      <c r="M29" s="163">
        <f>(M13+M17+M21+M25)/(4*M8*M9)</f>
        <v>4.166666666666667</v>
      </c>
      <c r="N29" s="163">
        <f t="shared" si="15"/>
        <v>4.166666666666667</v>
      </c>
      <c r="O29" s="163">
        <f t="shared" si="15"/>
        <v>4.166666666666667</v>
      </c>
      <c r="P29" s="163">
        <f t="shared" si="15"/>
        <v>0</v>
      </c>
      <c r="Q29" s="163">
        <f t="shared" si="15"/>
        <v>0</v>
      </c>
      <c r="R29" s="163">
        <f t="shared" si="15"/>
        <v>0</v>
      </c>
      <c r="S29" s="163">
        <f t="shared" si="15"/>
        <v>0</v>
      </c>
      <c r="T29" s="163">
        <f t="shared" si="15"/>
        <v>0</v>
      </c>
      <c r="U29" s="163">
        <f t="shared" si="15"/>
        <v>0</v>
      </c>
      <c r="V29" s="163">
        <f t="shared" si="15"/>
        <v>0</v>
      </c>
      <c r="W29" s="163">
        <f t="shared" si="15"/>
        <v>12.5</v>
      </c>
    </row>
    <row r="30" spans="2:23" x14ac:dyDescent="0.25">
      <c r="B30" s="3"/>
      <c r="C30" s="51"/>
      <c r="D30" s="33"/>
      <c r="E30" s="33"/>
      <c r="F30" s="33"/>
      <c r="G30" s="33"/>
      <c r="H30" s="33"/>
      <c r="I30" s="33"/>
      <c r="J30" s="33"/>
      <c r="K30" s="33"/>
      <c r="L30" s="33"/>
      <c r="M30" s="33"/>
      <c r="N30" s="33"/>
      <c r="O30" s="33"/>
      <c r="P30" s="33"/>
      <c r="Q30" s="33"/>
      <c r="R30" s="33"/>
      <c r="S30" s="33"/>
      <c r="T30" s="33"/>
      <c r="U30" s="33"/>
      <c r="V30" s="33"/>
      <c r="W30" s="33"/>
    </row>
    <row r="31" spans="2:23" x14ac:dyDescent="0.25">
      <c r="B31" s="146" t="s">
        <v>258</v>
      </c>
      <c r="C31" s="51"/>
      <c r="D31" s="33"/>
      <c r="E31" s="33"/>
      <c r="F31" s="33"/>
      <c r="G31" s="33"/>
      <c r="H31" s="33"/>
      <c r="I31" s="33"/>
      <c r="J31" s="33"/>
      <c r="K31" s="33"/>
      <c r="L31" s="33"/>
      <c r="M31" s="33"/>
      <c r="N31" s="33"/>
      <c r="O31" s="33"/>
      <c r="P31" s="33"/>
      <c r="Q31" s="33"/>
      <c r="R31" s="33"/>
      <c r="S31" s="33"/>
      <c r="T31" s="33"/>
      <c r="U31" s="33"/>
      <c r="V31" s="33"/>
      <c r="W31" s="33"/>
    </row>
    <row r="32" spans="2:23" ht="30" x14ac:dyDescent="0.25">
      <c r="B32" s="72" t="s">
        <v>183</v>
      </c>
      <c r="C32" s="196">
        <v>1.2</v>
      </c>
      <c r="D32" s="67">
        <f>C32</f>
        <v>1.2</v>
      </c>
      <c r="E32" s="67">
        <f>C32</f>
        <v>1.2</v>
      </c>
      <c r="F32" s="35">
        <f>C32</f>
        <v>1.2</v>
      </c>
      <c r="G32" s="35">
        <f>C32</f>
        <v>1.2</v>
      </c>
      <c r="H32" s="36">
        <f>C32</f>
        <v>1.2</v>
      </c>
      <c r="I32" s="36">
        <f>C32</f>
        <v>1.2</v>
      </c>
      <c r="J32" s="36">
        <f>C32</f>
        <v>1.2</v>
      </c>
      <c r="K32" s="36">
        <f>C32</f>
        <v>1.2</v>
      </c>
      <c r="L32" s="36">
        <f>C32</f>
        <v>1.2</v>
      </c>
      <c r="M32" s="36">
        <f>C32</f>
        <v>1.2</v>
      </c>
      <c r="N32" s="36">
        <f>C32</f>
        <v>1.2</v>
      </c>
      <c r="O32" s="36">
        <f>C32</f>
        <v>1.2</v>
      </c>
      <c r="P32" s="36">
        <f>C32</f>
        <v>1.2</v>
      </c>
      <c r="Q32" s="36">
        <f>C32</f>
        <v>1.2</v>
      </c>
      <c r="R32" s="36">
        <f>C32</f>
        <v>1.2</v>
      </c>
      <c r="S32" s="36">
        <f>C32</f>
        <v>1.2</v>
      </c>
      <c r="T32" s="36">
        <f>C32</f>
        <v>1.2</v>
      </c>
      <c r="U32" s="36">
        <f>C32</f>
        <v>1.2</v>
      </c>
      <c r="V32" s="36">
        <f>C32</f>
        <v>1.2</v>
      </c>
      <c r="W32" s="36">
        <f>C32</f>
        <v>1.2</v>
      </c>
    </row>
    <row r="33" spans="2:23" x14ac:dyDescent="0.25">
      <c r="B33" s="3" t="s">
        <v>5</v>
      </c>
      <c r="C33" s="196">
        <v>2</v>
      </c>
      <c r="D33" s="35">
        <f>C33</f>
        <v>2</v>
      </c>
      <c r="E33" s="35">
        <f>C33</f>
        <v>2</v>
      </c>
      <c r="F33" s="35">
        <f>C33</f>
        <v>2</v>
      </c>
      <c r="G33" s="35">
        <f>C33</f>
        <v>2</v>
      </c>
      <c r="H33" s="36">
        <f>C33</f>
        <v>2</v>
      </c>
      <c r="I33" s="36">
        <f>C33</f>
        <v>2</v>
      </c>
      <c r="J33" s="36">
        <f>C33</f>
        <v>2</v>
      </c>
      <c r="K33" s="36">
        <f>C33</f>
        <v>2</v>
      </c>
      <c r="L33" s="36">
        <f>C33</f>
        <v>2</v>
      </c>
      <c r="M33" s="36">
        <f>C33</f>
        <v>2</v>
      </c>
      <c r="N33" s="36">
        <f>C33</f>
        <v>2</v>
      </c>
      <c r="O33" s="36">
        <f>C33</f>
        <v>2</v>
      </c>
      <c r="P33" s="36">
        <f>C33</f>
        <v>2</v>
      </c>
      <c r="Q33" s="36">
        <f>C33</f>
        <v>2</v>
      </c>
      <c r="R33" s="36">
        <f>C33</f>
        <v>2</v>
      </c>
      <c r="S33" s="36">
        <f>C33</f>
        <v>2</v>
      </c>
      <c r="T33" s="36">
        <f>C33</f>
        <v>2</v>
      </c>
      <c r="U33" s="36">
        <f>C33</f>
        <v>2</v>
      </c>
      <c r="V33" s="36">
        <f>C33</f>
        <v>2</v>
      </c>
      <c r="W33" s="36">
        <f>C33</f>
        <v>2</v>
      </c>
    </row>
    <row r="34" spans="2:23" x14ac:dyDescent="0.25">
      <c r="B34" s="68" t="s">
        <v>237</v>
      </c>
      <c r="C34" s="51" t="s">
        <v>88</v>
      </c>
      <c r="D34" s="96">
        <f t="shared" ref="D34:W34" si="16">((D28+D29)*D32)/D33</f>
        <v>2.5</v>
      </c>
      <c r="E34" s="96">
        <f t="shared" si="16"/>
        <v>3.1250000000000004</v>
      </c>
      <c r="F34" s="96">
        <f t="shared" si="16"/>
        <v>3.75</v>
      </c>
      <c r="G34" s="96">
        <f t="shared" si="16"/>
        <v>4.375</v>
      </c>
      <c r="H34" s="96">
        <f t="shared" si="16"/>
        <v>5</v>
      </c>
      <c r="I34" s="96">
        <f t="shared" si="16"/>
        <v>5.625</v>
      </c>
      <c r="J34" s="96">
        <f t="shared" si="16"/>
        <v>6.2500000000000009</v>
      </c>
      <c r="K34" s="96">
        <f t="shared" si="16"/>
        <v>6.875</v>
      </c>
      <c r="L34" s="96">
        <f t="shared" si="16"/>
        <v>7.5</v>
      </c>
      <c r="M34" s="96">
        <f t="shared" si="16"/>
        <v>8.125</v>
      </c>
      <c r="N34" s="96">
        <f t="shared" si="16"/>
        <v>8.7500000000000018</v>
      </c>
      <c r="O34" s="96">
        <f t="shared" si="16"/>
        <v>9.375</v>
      </c>
      <c r="P34" s="96">
        <f t="shared" si="16"/>
        <v>2.5</v>
      </c>
      <c r="Q34" s="96">
        <f t="shared" si="16"/>
        <v>3.75</v>
      </c>
      <c r="R34" s="96">
        <f t="shared" si="16"/>
        <v>5</v>
      </c>
      <c r="S34" s="96">
        <f t="shared" si="16"/>
        <v>6.2500000000000009</v>
      </c>
      <c r="T34" s="96">
        <f t="shared" si="16"/>
        <v>7.5</v>
      </c>
      <c r="U34" s="96">
        <f t="shared" si="16"/>
        <v>8.75</v>
      </c>
      <c r="V34" s="96">
        <f t="shared" si="16"/>
        <v>10</v>
      </c>
      <c r="W34" s="96">
        <f t="shared" si="16"/>
        <v>12.500000000000002</v>
      </c>
    </row>
    <row r="36" spans="2:23" s="16" customFormat="1" x14ac:dyDescent="0.25">
      <c r="B36" s="147" t="s">
        <v>259</v>
      </c>
      <c r="C36" s="37"/>
      <c r="D36" s="37"/>
      <c r="E36" s="37"/>
      <c r="F36" s="37"/>
      <c r="G36" s="37"/>
      <c r="H36" s="37"/>
      <c r="I36" s="37"/>
      <c r="J36" s="37"/>
      <c r="K36" s="37"/>
      <c r="L36" s="37"/>
      <c r="M36" s="37"/>
      <c r="N36" s="37"/>
      <c r="O36" s="37"/>
      <c r="P36" s="37"/>
      <c r="Q36" s="37"/>
      <c r="R36" s="37"/>
      <c r="S36" s="37"/>
      <c r="T36" s="37"/>
      <c r="U36" s="37"/>
      <c r="V36" s="37"/>
      <c r="W36" s="108"/>
    </row>
    <row r="37" spans="2:23" ht="30" customHeight="1" x14ac:dyDescent="0.25">
      <c r="B37" s="72" t="s">
        <v>315</v>
      </c>
      <c r="C37" s="197">
        <v>0.56999999999999995</v>
      </c>
      <c r="D37" s="67">
        <f>C37</f>
        <v>0.56999999999999995</v>
      </c>
      <c r="E37" s="67">
        <f>C37</f>
        <v>0.56999999999999995</v>
      </c>
      <c r="F37" s="35">
        <f>C37</f>
        <v>0.56999999999999995</v>
      </c>
      <c r="G37" s="35">
        <f>C37</f>
        <v>0.56999999999999995</v>
      </c>
      <c r="H37" s="36">
        <f>C37</f>
        <v>0.56999999999999995</v>
      </c>
      <c r="I37" s="36">
        <f>C37</f>
        <v>0.56999999999999995</v>
      </c>
      <c r="J37" s="36">
        <f>C37</f>
        <v>0.56999999999999995</v>
      </c>
      <c r="K37" s="36">
        <f>C37</f>
        <v>0.56999999999999995</v>
      </c>
      <c r="L37" s="36">
        <f>C37</f>
        <v>0.56999999999999995</v>
      </c>
      <c r="M37" s="36">
        <f>C37</f>
        <v>0.56999999999999995</v>
      </c>
      <c r="N37" s="36">
        <f>C37</f>
        <v>0.56999999999999995</v>
      </c>
      <c r="O37" s="36">
        <f>C37</f>
        <v>0.56999999999999995</v>
      </c>
      <c r="P37" s="36">
        <f>C37</f>
        <v>0.56999999999999995</v>
      </c>
      <c r="Q37" s="36">
        <f>C37</f>
        <v>0.56999999999999995</v>
      </c>
      <c r="R37" s="36">
        <f>C37</f>
        <v>0.56999999999999995</v>
      </c>
      <c r="S37" s="36">
        <f>C37</f>
        <v>0.56999999999999995</v>
      </c>
      <c r="T37" s="36">
        <f>C37</f>
        <v>0.56999999999999995</v>
      </c>
      <c r="U37" s="36">
        <f>C37</f>
        <v>0.56999999999999995</v>
      </c>
      <c r="V37" s="36">
        <f>C37</f>
        <v>0.56999999999999995</v>
      </c>
      <c r="W37" s="36">
        <f>C37</f>
        <v>0.56999999999999995</v>
      </c>
    </row>
    <row r="38" spans="2:23" ht="30" x14ac:dyDescent="0.25">
      <c r="B38" s="92" t="s">
        <v>314</v>
      </c>
      <c r="C38" s="196">
        <v>0.56999999999999995</v>
      </c>
      <c r="D38" s="67">
        <f>C38</f>
        <v>0.56999999999999995</v>
      </c>
      <c r="E38" s="67">
        <f>C38</f>
        <v>0.56999999999999995</v>
      </c>
      <c r="F38" s="35">
        <f>C38</f>
        <v>0.56999999999999995</v>
      </c>
      <c r="G38" s="67">
        <f>C38</f>
        <v>0.56999999999999995</v>
      </c>
      <c r="H38" s="36">
        <f>C38</f>
        <v>0.56999999999999995</v>
      </c>
      <c r="I38" s="67">
        <f>C38</f>
        <v>0.56999999999999995</v>
      </c>
      <c r="J38" s="36">
        <f>C38</f>
        <v>0.56999999999999995</v>
      </c>
      <c r="K38" s="67">
        <f>C38</f>
        <v>0.56999999999999995</v>
      </c>
      <c r="L38" s="36">
        <f>C38</f>
        <v>0.56999999999999995</v>
      </c>
      <c r="M38" s="36">
        <f>C38</f>
        <v>0.56999999999999995</v>
      </c>
      <c r="N38" s="36">
        <f>C38</f>
        <v>0.56999999999999995</v>
      </c>
      <c r="O38" s="36">
        <f>C38</f>
        <v>0.56999999999999995</v>
      </c>
      <c r="P38" s="36">
        <f>C38</f>
        <v>0.56999999999999995</v>
      </c>
      <c r="Q38" s="36">
        <f>C38</f>
        <v>0.56999999999999995</v>
      </c>
      <c r="R38" s="36">
        <f>C38</f>
        <v>0.56999999999999995</v>
      </c>
      <c r="S38" s="36">
        <f>C38</f>
        <v>0.56999999999999995</v>
      </c>
      <c r="T38" s="36">
        <f>C38</f>
        <v>0.56999999999999995</v>
      </c>
      <c r="U38" s="36">
        <f>C38</f>
        <v>0.56999999999999995</v>
      </c>
      <c r="V38" s="36">
        <f>C38</f>
        <v>0.56999999999999995</v>
      </c>
      <c r="W38" s="36">
        <f>C38</f>
        <v>0.56999999999999995</v>
      </c>
    </row>
    <row r="39" spans="2:23" x14ac:dyDescent="0.25">
      <c r="B39" t="s">
        <v>5</v>
      </c>
      <c r="C39" s="197">
        <v>2</v>
      </c>
      <c r="D39" s="38">
        <f>C39</f>
        <v>2</v>
      </c>
      <c r="E39" s="38">
        <f>C39</f>
        <v>2</v>
      </c>
      <c r="F39" s="38">
        <f>C39</f>
        <v>2</v>
      </c>
      <c r="G39" s="38">
        <f>C39</f>
        <v>2</v>
      </c>
      <c r="H39" s="36">
        <f>C39</f>
        <v>2</v>
      </c>
      <c r="I39" s="36">
        <f>C39</f>
        <v>2</v>
      </c>
      <c r="J39" s="36">
        <f>C39</f>
        <v>2</v>
      </c>
      <c r="K39" s="36">
        <f>C39</f>
        <v>2</v>
      </c>
      <c r="L39" s="36">
        <f>C39</f>
        <v>2</v>
      </c>
      <c r="M39" s="36">
        <f>C39</f>
        <v>2</v>
      </c>
      <c r="N39" s="36">
        <f>C39</f>
        <v>2</v>
      </c>
      <c r="O39" s="36">
        <f>C39</f>
        <v>2</v>
      </c>
      <c r="P39" s="36">
        <f>C39</f>
        <v>2</v>
      </c>
      <c r="Q39" s="36">
        <f>C39</f>
        <v>2</v>
      </c>
      <c r="R39" s="36">
        <f>C39</f>
        <v>2</v>
      </c>
      <c r="S39" s="36">
        <f>C39</f>
        <v>2</v>
      </c>
      <c r="T39" s="36">
        <f>C39</f>
        <v>2</v>
      </c>
      <c r="U39" s="36">
        <f>C39</f>
        <v>2</v>
      </c>
      <c r="V39" s="36">
        <f>C39</f>
        <v>2</v>
      </c>
      <c r="W39" s="36">
        <f>C39</f>
        <v>2</v>
      </c>
    </row>
    <row r="40" spans="2:23" x14ac:dyDescent="0.25">
      <c r="B40" s="66" t="s">
        <v>238</v>
      </c>
      <c r="C40" s="51" t="s">
        <v>88</v>
      </c>
      <c r="D40" s="96">
        <f t="shared" ref="D40:J40" si="17">(D37*D28+D38*D29)/D39</f>
        <v>1.1875</v>
      </c>
      <c r="E40" s="96">
        <f t="shared" si="17"/>
        <v>1.484375</v>
      </c>
      <c r="F40" s="96">
        <f t="shared" si="17"/>
        <v>1.78125</v>
      </c>
      <c r="G40" s="96">
        <f t="shared" si="17"/>
        <v>2.078125</v>
      </c>
      <c r="H40" s="96">
        <f t="shared" si="17"/>
        <v>2.375</v>
      </c>
      <c r="I40" s="96">
        <f t="shared" si="17"/>
        <v>2.671875</v>
      </c>
      <c r="J40" s="96">
        <f t="shared" si="17"/>
        <v>2.96875</v>
      </c>
      <c r="K40" s="96">
        <f>(K37*K28)/K39</f>
        <v>2.078125</v>
      </c>
      <c r="L40" s="96">
        <f t="shared" ref="L40:W40" si="18">(L37*L28+L38*L29)/L39</f>
        <v>3.5625</v>
      </c>
      <c r="M40" s="96">
        <f t="shared" si="18"/>
        <v>3.8593749999999996</v>
      </c>
      <c r="N40" s="96">
        <f t="shared" si="18"/>
        <v>4.15625</v>
      </c>
      <c r="O40" s="96">
        <f t="shared" si="18"/>
        <v>4.453125</v>
      </c>
      <c r="P40" s="96">
        <f t="shared" si="18"/>
        <v>1.1875</v>
      </c>
      <c r="Q40" s="96">
        <f t="shared" si="18"/>
        <v>1.7812499999999998</v>
      </c>
      <c r="R40" s="96">
        <f t="shared" si="18"/>
        <v>2.375</v>
      </c>
      <c r="S40" s="96">
        <f t="shared" si="18"/>
        <v>2.96875</v>
      </c>
      <c r="T40" s="96">
        <f t="shared" si="18"/>
        <v>3.5624999999999996</v>
      </c>
      <c r="U40" s="96">
        <f t="shared" si="18"/>
        <v>4.15625</v>
      </c>
      <c r="V40" s="96">
        <f t="shared" si="18"/>
        <v>4.75</v>
      </c>
      <c r="W40" s="96">
        <f t="shared" si="18"/>
        <v>5.9375</v>
      </c>
    </row>
    <row r="42" spans="2:23" x14ac:dyDescent="0.25">
      <c r="B42" s="155" t="s">
        <v>260</v>
      </c>
    </row>
    <row r="43" spans="2:23" x14ac:dyDescent="0.25">
      <c r="B43" s="66" t="s">
        <v>255</v>
      </c>
      <c r="D43" s="145">
        <f t="shared" ref="D43:W43" si="19" xml:space="preserve"> D28*MIN(D37/D39,D32/D33)+D29*MIN(D38/D39,D32/D33)</f>
        <v>1.1875</v>
      </c>
      <c r="E43" s="145">
        <f t="shared" si="19"/>
        <v>1.484375</v>
      </c>
      <c r="F43" s="145">
        <f t="shared" si="19"/>
        <v>1.78125</v>
      </c>
      <c r="G43" s="145">
        <f t="shared" si="19"/>
        <v>2.078125</v>
      </c>
      <c r="H43" s="145">
        <f t="shared" si="19"/>
        <v>2.375</v>
      </c>
      <c r="I43" s="145">
        <f t="shared" si="19"/>
        <v>2.671875</v>
      </c>
      <c r="J43" s="145">
        <f t="shared" si="19"/>
        <v>2.96875</v>
      </c>
      <c r="K43" s="145">
        <f t="shared" si="19"/>
        <v>3.265625</v>
      </c>
      <c r="L43" s="145">
        <f t="shared" si="19"/>
        <v>3.5625</v>
      </c>
      <c r="M43" s="145">
        <f t="shared" si="19"/>
        <v>3.8593749999999996</v>
      </c>
      <c r="N43" s="145">
        <f t="shared" si="19"/>
        <v>4.15625</v>
      </c>
      <c r="O43" s="145">
        <f t="shared" si="19"/>
        <v>4.453125</v>
      </c>
      <c r="P43" s="145">
        <f t="shared" si="19"/>
        <v>1.1875</v>
      </c>
      <c r="Q43" s="145">
        <f t="shared" si="19"/>
        <v>1.7812499999999998</v>
      </c>
      <c r="R43" s="145">
        <f t="shared" si="19"/>
        <v>2.375</v>
      </c>
      <c r="S43" s="145">
        <f t="shared" si="19"/>
        <v>2.96875</v>
      </c>
      <c r="T43" s="145">
        <f t="shared" si="19"/>
        <v>3.5624999999999996</v>
      </c>
      <c r="U43" s="145">
        <f t="shared" si="19"/>
        <v>4.15625</v>
      </c>
      <c r="V43" s="145">
        <f t="shared" si="19"/>
        <v>4.75</v>
      </c>
      <c r="W43" s="145">
        <f t="shared" si="19"/>
        <v>5.9375</v>
      </c>
    </row>
    <row r="47" spans="2:23" x14ac:dyDescent="0.25">
      <c r="B47" s="116" t="s">
        <v>6</v>
      </c>
    </row>
    <row r="48" spans="2:23" ht="15" customHeight="1" x14ac:dyDescent="0.25">
      <c r="B48" s="227" t="s">
        <v>273</v>
      </c>
    </row>
    <row r="49" spans="2:2" ht="15" customHeight="1" x14ac:dyDescent="0.25">
      <c r="B49" s="227"/>
    </row>
    <row r="50" spans="2:2" ht="15" customHeight="1" x14ac:dyDescent="0.25">
      <c r="B50" s="227" t="s">
        <v>274</v>
      </c>
    </row>
    <row r="51" spans="2:2" ht="15" customHeight="1" x14ac:dyDescent="0.25">
      <c r="B51" s="227"/>
    </row>
    <row r="52" spans="2:2" ht="15" customHeight="1" x14ac:dyDescent="0.25">
      <c r="B52" s="116" t="s">
        <v>216</v>
      </c>
    </row>
    <row r="53" spans="2:2" ht="15" customHeight="1" x14ac:dyDescent="0.25">
      <c r="B53" s="226" t="s">
        <v>215</v>
      </c>
    </row>
    <row r="54" spans="2:2" ht="15" customHeight="1" x14ac:dyDescent="0.25">
      <c r="B54" s="226"/>
    </row>
    <row r="56" spans="2:2" ht="15" customHeight="1" x14ac:dyDescent="0.25">
      <c r="B56" s="19"/>
    </row>
    <row r="57" spans="2:2" ht="15" customHeight="1" x14ac:dyDescent="0.25">
      <c r="B57" s="165"/>
    </row>
    <row r="58" spans="2:2" x14ac:dyDescent="0.25">
      <c r="B58" s="165"/>
    </row>
    <row r="59" spans="2:2" x14ac:dyDescent="0.25">
      <c r="B59" s="165"/>
    </row>
    <row r="60" spans="2:2" x14ac:dyDescent="0.25">
      <c r="B60" s="165"/>
    </row>
    <row r="61" spans="2:2" x14ac:dyDescent="0.25">
      <c r="B61" s="165"/>
    </row>
    <row r="67" spans="2:3" ht="15" customHeight="1" x14ac:dyDescent="0.25">
      <c r="B67" s="29"/>
    </row>
    <row r="71" spans="2:3" hidden="1" x14ac:dyDescent="0.25">
      <c r="C71">
        <v>0</v>
      </c>
    </row>
    <row r="72" spans="2:3" hidden="1" x14ac:dyDescent="0.25">
      <c r="C72">
        <v>0.5</v>
      </c>
    </row>
    <row r="73" spans="2:3" hidden="1" x14ac:dyDescent="0.25">
      <c r="C73">
        <v>1</v>
      </c>
    </row>
    <row r="74" spans="2:3" hidden="1" x14ac:dyDescent="0.25">
      <c r="C74">
        <v>1.5</v>
      </c>
    </row>
    <row r="75" spans="2:3" hidden="1" x14ac:dyDescent="0.25">
      <c r="C75">
        <v>2</v>
      </c>
    </row>
    <row r="76" spans="2:3" hidden="1" x14ac:dyDescent="0.25">
      <c r="C76">
        <v>2.5</v>
      </c>
    </row>
    <row r="77" spans="2:3" hidden="1" x14ac:dyDescent="0.25">
      <c r="C77">
        <v>3</v>
      </c>
    </row>
    <row r="78" spans="2:3" hidden="1" x14ac:dyDescent="0.25">
      <c r="C78">
        <v>3.5</v>
      </c>
    </row>
    <row r="79" spans="2:3" hidden="1" x14ac:dyDescent="0.25">
      <c r="C79">
        <v>4</v>
      </c>
    </row>
    <row r="80" spans="2:3" hidden="1" x14ac:dyDescent="0.25">
      <c r="C80">
        <v>4.5</v>
      </c>
    </row>
    <row r="81" spans="3:3" hidden="1" x14ac:dyDescent="0.25">
      <c r="C81">
        <v>5</v>
      </c>
    </row>
    <row r="82" spans="3:3" hidden="1" x14ac:dyDescent="0.25">
      <c r="C82">
        <v>5.5</v>
      </c>
    </row>
    <row r="83" spans="3:3" hidden="1" x14ac:dyDescent="0.25">
      <c r="C83">
        <v>6</v>
      </c>
    </row>
    <row r="84" spans="3:3" hidden="1" x14ac:dyDescent="0.25">
      <c r="C84">
        <v>6.5</v>
      </c>
    </row>
    <row r="85" spans="3:3" hidden="1" x14ac:dyDescent="0.25">
      <c r="C85">
        <v>7</v>
      </c>
    </row>
    <row r="86" spans="3:3" hidden="1" x14ac:dyDescent="0.25">
      <c r="C86">
        <v>7.5</v>
      </c>
    </row>
    <row r="87" spans="3:3" hidden="1" x14ac:dyDescent="0.25">
      <c r="C87">
        <v>8</v>
      </c>
    </row>
    <row r="88" spans="3:3" hidden="1" x14ac:dyDescent="0.25">
      <c r="C88">
        <v>8.5</v>
      </c>
    </row>
    <row r="89" spans="3:3" hidden="1" x14ac:dyDescent="0.25">
      <c r="C89">
        <v>9</v>
      </c>
    </row>
    <row r="90" spans="3:3" hidden="1" x14ac:dyDescent="0.25">
      <c r="C90">
        <v>9.5</v>
      </c>
    </row>
    <row r="91" spans="3:3" hidden="1" x14ac:dyDescent="0.25">
      <c r="C91">
        <v>10</v>
      </c>
    </row>
    <row r="130" ht="30" customHeight="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sheetData>
  <sheetProtection algorithmName="SHA-512" hashValue="iq30Cx3IkGFJE1BsTiEy3Kj9YKtLxN2Yg0VZSnkXLN1mj9VxoScAW+H6q3w+t/u/on1W/ZNx9RI+M6fEW+W2lw==" saltValue="C2zlfoEnuTRQgCtUFTLhAQ==" spinCount="100000" sheet="1" objects="1" scenarios="1"/>
  <mergeCells count="4">
    <mergeCell ref="B2:G3"/>
    <mergeCell ref="B48:B49"/>
    <mergeCell ref="B50:B51"/>
    <mergeCell ref="B53:B54"/>
  </mergeCells>
  <dataValidations count="1">
    <dataValidation type="list" allowBlank="1" showInputMessage="1" showErrorMessage="1" sqref="W12:W13 W16:W17 W20:W21 W24:W25" xr:uid="{00000000-0002-0000-0400-000000000000}">
      <formula1>liczby010</formula1>
    </dataValidation>
  </dataValidations>
  <pageMargins left="0.7" right="0.7" top="0.75" bottom="0.75" header="0.3" footer="0.3"/>
  <pageSetup paperSize="9" orientation="portrait" horizontalDpi="1200" verticalDpi="12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128"/>
  <sheetViews>
    <sheetView workbookViewId="0">
      <selection activeCell="B2" sqref="B2:G3"/>
    </sheetView>
  </sheetViews>
  <sheetFormatPr defaultRowHeight="15" x14ac:dyDescent="0.25"/>
  <cols>
    <col min="2" max="2" width="63.28515625" customWidth="1"/>
    <col min="3" max="12" width="27.42578125" customWidth="1"/>
  </cols>
  <sheetData>
    <row r="2" spans="2:7" x14ac:dyDescent="0.25">
      <c r="B2" s="230" t="s">
        <v>206</v>
      </c>
      <c r="C2" s="230"/>
      <c r="D2" s="230"/>
      <c r="E2" s="230"/>
      <c r="F2" s="230"/>
      <c r="G2" s="230"/>
    </row>
    <row r="3" spans="2:7" x14ac:dyDescent="0.25">
      <c r="B3" s="230"/>
      <c r="C3" s="230"/>
      <c r="D3" s="230"/>
      <c r="E3" s="230"/>
      <c r="F3" s="230"/>
      <c r="G3" s="230"/>
    </row>
    <row r="4" spans="2:7" x14ac:dyDescent="0.25">
      <c r="B4" s="231" t="s">
        <v>253</v>
      </c>
      <c r="C4" s="231"/>
      <c r="D4" s="231"/>
      <c r="E4" s="231"/>
      <c r="F4" s="231"/>
      <c r="G4" s="231"/>
    </row>
    <row r="6" spans="2:7" x14ac:dyDescent="0.25">
      <c r="B6" s="10" t="s">
        <v>14</v>
      </c>
    </row>
    <row r="7" spans="2:7" x14ac:dyDescent="0.25">
      <c r="B7" t="s">
        <v>225</v>
      </c>
      <c r="C7" s="199">
        <v>2</v>
      </c>
      <c r="E7" s="5"/>
    </row>
    <row r="8" spans="2:7" x14ac:dyDescent="0.25">
      <c r="B8" t="s">
        <v>7</v>
      </c>
      <c r="C8" s="199">
        <v>120</v>
      </c>
      <c r="D8" s="229" t="s">
        <v>77</v>
      </c>
      <c r="E8" s="229"/>
    </row>
    <row r="9" spans="2:7" x14ac:dyDescent="0.25">
      <c r="B9" t="s">
        <v>8</v>
      </c>
      <c r="C9" s="113">
        <f>IF(AND(C7=1,C8&lt;=300),22,IF(AND(C7=1,C8&gt;300),22*(1+0.0006*(C8-300)),IF(C7=2,26,IF(AND(C7=3,C8&lt;=300),22,IF(AND(C7=3,C8&gt;300),22*(1+0.0006*(C8-300)),IF(AND(C7="Granica 1 i 2",C8&lt;=300),24,IF(AND(C7="Granica 1 i 2",C8&gt;300),(22*(1+0.0006*(C8-300))+26)/2,"-")))))))</f>
        <v>26</v>
      </c>
      <c r="E9" s="5"/>
    </row>
    <row r="10" spans="2:7" x14ac:dyDescent="0.25">
      <c r="B10" t="s">
        <v>10</v>
      </c>
      <c r="C10" s="17">
        <v>1</v>
      </c>
      <c r="E10" s="5"/>
    </row>
    <row r="11" spans="2:7" x14ac:dyDescent="0.25">
      <c r="B11" s="16" t="s">
        <v>9</v>
      </c>
      <c r="C11" s="17">
        <v>1</v>
      </c>
      <c r="E11" s="6"/>
    </row>
    <row r="12" spans="2:7" x14ac:dyDescent="0.25">
      <c r="B12" t="s">
        <v>11</v>
      </c>
      <c r="C12" s="35">
        <f>C9*C11*C10</f>
        <v>26</v>
      </c>
      <c r="E12" s="5"/>
    </row>
    <row r="13" spans="2:7" x14ac:dyDescent="0.25">
      <c r="B13" t="s">
        <v>84</v>
      </c>
      <c r="C13" s="113">
        <f>IF(AND(C7=1,C8&lt;=300),0.3,IF(AND(C7=1,C8&gt;300),0.3*(1+0.0006*(C8-300))^2,IF(C7=2,0.42,IF(AND(C7=3,C8&lt;=300),0.3,IF(AND(C7=3,C8&gt;300),0.3*((1+0.0006*(C8-300))^2)*((20000-C8)/(20000+C8)),IF(AND(C7="Granica 1 i 2",C8&lt;=300),0.36,IF(AND(C7="Granica 1 i 2",C8&gt;300),((0.3*(1+0.0006*(C8-300))^2)+0.42)/2,"-")))))))</f>
        <v>0.42</v>
      </c>
      <c r="E13" s="5"/>
    </row>
    <row r="14" spans="2:7" x14ac:dyDescent="0.25">
      <c r="E14" s="4"/>
    </row>
    <row r="15" spans="2:7" x14ac:dyDescent="0.25">
      <c r="B15" s="10" t="s">
        <v>15</v>
      </c>
      <c r="E15" s="4"/>
    </row>
    <row r="16" spans="2:7" x14ac:dyDescent="0.25">
      <c r="B16" t="s">
        <v>19</v>
      </c>
      <c r="C16" s="199" t="s">
        <v>61</v>
      </c>
      <c r="E16" s="4"/>
    </row>
    <row r="17" spans="2:9" ht="15" customHeight="1" x14ac:dyDescent="0.25">
      <c r="B17" t="s">
        <v>229</v>
      </c>
      <c r="C17" s="232" t="str">
        <f>IF(C16=0,"Morze, obszar brzegowy otwarty na morze",IF(C16="I","Jeziora albo obszary z pomijalną niewielką roślinnością i bez przeszkód",IF(C16="II","Obszary z niską roślinnością, taką jak trawa, oraz pojedynczymi przeszkodami (drzewa, budynki) oddalonymi od siebie na odległość nie mniejszą niż 20 ich wysokości",IF(C16="III","Obszary regularnie pokryte roślinnością albo budynkami lub z pojedynczymi przeszkodami oddalonymi od siebie na odległość nie większą niż 20 ich wysokości (jak wsie, tereny podmiejskie, stałe lasy)",IF(C16="IV","Obszary, na których przynajmniej 15% powierzchni pokrywają budynki o średniej wysokości przekraczającej 15 m","-")))))</f>
        <v>Obszary regularnie pokryte roślinnością albo budynkami lub z pojedynczymi przeszkodami oddalonymi od siebie na odległość nie większą niż 20 ich wysokości (jak wsie, tereny podmiejskie, stałe lasy)</v>
      </c>
      <c r="D17" s="232"/>
      <c r="E17" s="232"/>
      <c r="F17" s="232"/>
      <c r="G17" s="232"/>
      <c r="H17" s="232"/>
      <c r="I17" s="232"/>
    </row>
    <row r="18" spans="2:9" x14ac:dyDescent="0.25">
      <c r="B18" t="s">
        <v>16</v>
      </c>
      <c r="C18" s="41">
        <f>IF(C16=0,0.003,IF(C16="I",0.01,IF(C16="II",0.05,IF(C16="III",0.3,IF(C16="IV",1,"-")))))</f>
        <v>0.3</v>
      </c>
      <c r="E18" s="4"/>
    </row>
    <row r="19" spans="2:9" x14ac:dyDescent="0.25">
      <c r="B19" t="s">
        <v>17</v>
      </c>
      <c r="C19" s="41">
        <f>IF(C16=0,1,IF(C16="I",1,IF(C16="II",2,IF(C16="III",5,IF(C16="IV",10,"-")))))</f>
        <v>5</v>
      </c>
      <c r="E19" s="4"/>
    </row>
    <row r="20" spans="2:9" x14ac:dyDescent="0.25">
      <c r="B20" t="s">
        <v>55</v>
      </c>
      <c r="C20" s="41">
        <f>IF(C16=0,200,IF(C16="I",200,IF(C16="II",300,IF(C16="III",400,IF(C16="IV",500,"-")))))</f>
        <v>400</v>
      </c>
      <c r="E20" s="4"/>
    </row>
    <row r="21" spans="2:9" x14ac:dyDescent="0.25">
      <c r="B21" t="s">
        <v>18</v>
      </c>
      <c r="C21" s="42">
        <f>0.19*(C18/0.05)^0.07</f>
        <v>0.21538933156341294</v>
      </c>
      <c r="E21" s="4"/>
    </row>
    <row r="22" spans="2:9" x14ac:dyDescent="0.25">
      <c r="E22" s="4"/>
    </row>
    <row r="23" spans="2:9" x14ac:dyDescent="0.25">
      <c r="B23" s="110" t="s">
        <v>20</v>
      </c>
      <c r="E23" s="4"/>
    </row>
    <row r="24" spans="2:9" x14ac:dyDescent="0.25">
      <c r="B24" t="s">
        <v>21</v>
      </c>
      <c r="C24" s="199">
        <v>25</v>
      </c>
      <c r="D24" s="41">
        <f>C24</f>
        <v>25</v>
      </c>
      <c r="E24" s="4"/>
    </row>
    <row r="25" spans="2:9" x14ac:dyDescent="0.25">
      <c r="B25" t="s">
        <v>22</v>
      </c>
      <c r="C25" s="199">
        <v>10</v>
      </c>
      <c r="D25" s="41">
        <f>C26</f>
        <v>28</v>
      </c>
      <c r="E25" s="4"/>
    </row>
    <row r="26" spans="2:9" x14ac:dyDescent="0.25">
      <c r="B26" s="16" t="s">
        <v>23</v>
      </c>
      <c r="C26" s="199">
        <v>28</v>
      </c>
      <c r="D26" s="108">
        <f>C25</f>
        <v>10</v>
      </c>
      <c r="E26" s="4"/>
    </row>
    <row r="27" spans="2:9" x14ac:dyDescent="0.25">
      <c r="C27" s="22"/>
      <c r="D27" s="22"/>
      <c r="E27" s="4"/>
    </row>
    <row r="28" spans="2:9" x14ac:dyDescent="0.25">
      <c r="B28" s="13" t="s">
        <v>46</v>
      </c>
      <c r="C28" s="9"/>
      <c r="E28" s="4"/>
    </row>
    <row r="29" spans="2:9" x14ac:dyDescent="0.25">
      <c r="B29" s="13" t="s">
        <v>41</v>
      </c>
      <c r="C29" s="9"/>
      <c r="E29" s="4"/>
    </row>
    <row r="30" spans="2:9" x14ac:dyDescent="0.25">
      <c r="B30" t="s">
        <v>38</v>
      </c>
      <c r="C30" s="17">
        <f>MIN(C25,2*C24)</f>
        <v>10</v>
      </c>
      <c r="D30" s="178">
        <f>MIN(D25,2*D24)</f>
        <v>28</v>
      </c>
      <c r="E30" s="4"/>
    </row>
    <row r="31" spans="2:9" x14ac:dyDescent="0.25">
      <c r="B31" s="73" t="s">
        <v>35</v>
      </c>
      <c r="C31" s="126">
        <f>IF(C30&lt;C26,C30/5,IF(C30&gt;=5*C26,C26,IF(C30&gt;=C26,C30/5,0)))</f>
        <v>2</v>
      </c>
      <c r="D31" s="126">
        <f>IF(D30&lt;D26,D30/5,IF(D30&gt;=5*D26,D26,IF(D30&gt;=D26,D30/5,0)))</f>
        <v>5.6</v>
      </c>
      <c r="E31" s="4"/>
    </row>
    <row r="32" spans="2:9" x14ac:dyDescent="0.25">
      <c r="B32" s="73" t="s">
        <v>36</v>
      </c>
      <c r="C32" s="126">
        <f>IF(C30&lt;C26,4*C30/5,IF(C30&gt;=5*C26,0,IF(C30&gt;=C26,C26-C30/5,0)))</f>
        <v>8</v>
      </c>
      <c r="D32" s="126">
        <f>IF(D30&lt;D26,4*D30/5,IF(D30&gt;=5*D26,0,IF(D30&gt;=D26,D26-D30/5,0)))</f>
        <v>4.4000000000000004</v>
      </c>
      <c r="E32" s="4"/>
    </row>
    <row r="33" spans="2:5" x14ac:dyDescent="0.25">
      <c r="B33" s="73" t="s">
        <v>37</v>
      </c>
      <c r="C33" s="126">
        <f>IF(C30&lt;C26,C26-C30,0)</f>
        <v>18</v>
      </c>
      <c r="D33" s="126">
        <f>IF(D30&lt;D26,D26-D30,0)</f>
        <v>0</v>
      </c>
      <c r="E33" s="4"/>
    </row>
    <row r="34" spans="2:5" x14ac:dyDescent="0.25">
      <c r="B34" s="16"/>
      <c r="C34" s="17"/>
      <c r="D34" s="17"/>
      <c r="E34" s="4"/>
    </row>
    <row r="35" spans="2:5" x14ac:dyDescent="0.25">
      <c r="B35" s="19" t="s">
        <v>42</v>
      </c>
      <c r="C35" s="17"/>
      <c r="D35" s="17"/>
      <c r="E35" s="4"/>
    </row>
    <row r="36" spans="2:5" x14ac:dyDescent="0.25">
      <c r="B36" s="119" t="s">
        <v>48</v>
      </c>
      <c r="C36" s="120" t="str">
        <f>IF(C31&gt;=C32+C33,"A",IF(C31+C32&gt;=C33,"A-B-A","A-B-C-B-A"))</f>
        <v>A-B-C-B-A</v>
      </c>
      <c r="D36" s="120" t="str">
        <f>IF(D31&gt;=D32+D33,"A",IF(D31+D32&gt;=D33,"A-B-A","A-B-C-B-A"))</f>
        <v>A</v>
      </c>
      <c r="E36" s="4"/>
    </row>
    <row r="37" spans="2:5" x14ac:dyDescent="0.25">
      <c r="B37" s="121" t="s">
        <v>43</v>
      </c>
      <c r="C37" s="122">
        <f>IF(C36="A-B-C-B-A",C31,IF(C36="A-B-A",C31,IF(C36="A",C26,0)))</f>
        <v>2</v>
      </c>
      <c r="D37" s="122">
        <f>IF(D36="A-B-C-B-A",D31,IF(D36="A-B-A",D31,IF(D36="A",D26,0)))</f>
        <v>10</v>
      </c>
      <c r="E37" s="4"/>
    </row>
    <row r="38" spans="2:5" x14ac:dyDescent="0.25">
      <c r="B38" s="121" t="s">
        <v>44</v>
      </c>
      <c r="C38" s="122">
        <f>IF(C36="A-B-C-B-A",C32,IF(C36="A-B-A",C26-2*C31,IF(C36="A",0,0)))</f>
        <v>8</v>
      </c>
      <c r="D38" s="122">
        <f>IF(D36="A-B-C-B-A",D32,IF(D36="A-B-A",D26-2*D31,IF(D36="A",0,0)))</f>
        <v>0</v>
      </c>
      <c r="E38" s="4"/>
    </row>
    <row r="39" spans="2:5" x14ac:dyDescent="0.25">
      <c r="B39" s="121" t="s">
        <v>45</v>
      </c>
      <c r="C39" s="122">
        <f>IF(C36="A-B-C-B-A",C26-2*C37-2*C38,0)</f>
        <v>8</v>
      </c>
      <c r="D39" s="122">
        <f>IF(D36="A-B-C-B-A",D26-2*D37-2*D38,0)</f>
        <v>0</v>
      </c>
      <c r="E39" s="4"/>
    </row>
    <row r="40" spans="2:5" x14ac:dyDescent="0.25">
      <c r="B40" s="121" t="s">
        <v>47</v>
      </c>
      <c r="C40" s="123" t="str">
        <f>IF(C36="A",C37,IF(C36="A-B-A",TEXT(C37,"####0,0##")&amp;" - "&amp;TEXT(C38,"####0,0##")&amp;" - "&amp;TEXT(C37,"####0,0##"),TEXT(C37,"####0,0##")&amp;" - "&amp;TEXT(C38,"####0,0##")&amp;" - "&amp;TEXT(C39,"####0,0##")&amp;" - "&amp;TEXT(C38,"####0,0##")&amp;" - "&amp;TEXT(C37,"####0,0##")))</f>
        <v>2,0 - 8,0 - 8,0 - 8,0 - 2,0</v>
      </c>
      <c r="D40" s="123">
        <f>IF(D36="A",D37,IF(D36="A-B-A",TEXT(D37,"####0,0##")&amp;" - "&amp;TEXT(D38,"####0,0##")&amp;" - "&amp;TEXT(D37,"####0,0##"),TEXT(D37,"####0,0##")&amp;" - "&amp;TEXT(D38,"####0,0##")&amp;" - "&amp;TEXT(D39,"####0,0##")&amp;" - "&amp;TEXT(D38,"####0,0##")&amp;" - "&amp;TEXT(D37,"####0,0##")))</f>
        <v>10</v>
      </c>
      <c r="E40" s="4"/>
    </row>
    <row r="41" spans="2:5" x14ac:dyDescent="0.25">
      <c r="E41" s="4"/>
    </row>
    <row r="42" spans="2:5" x14ac:dyDescent="0.25">
      <c r="B42" s="233" t="s">
        <v>54</v>
      </c>
      <c r="C42" s="233"/>
      <c r="E42" s="130"/>
    </row>
    <row r="43" spans="2:5" x14ac:dyDescent="0.25">
      <c r="B43" s="109" t="s">
        <v>245</v>
      </c>
      <c r="C43" s="131" t="str">
        <f>IF(C24&lt;=C25,"h ≤ b",IF(AND(C24&gt;C25,C24&lt;=2*C25),"b &lt; h ≤ 2b",IF(C24&gt;2*C25,"h &gt; 2b","")))</f>
        <v>h &gt; 2b</v>
      </c>
      <c r="D43" s="131" t="str">
        <f>IF(D24&lt;=D25,"h ≤ b",IF(AND(D24&gt;D25,D24&lt;=2*D25),"b &lt; h ≤ 2b",IF(D24&gt;2*D25,"h &gt; 2b","")))</f>
        <v>h ≤ b</v>
      </c>
      <c r="E43" s="130"/>
    </row>
    <row r="44" spans="2:5" x14ac:dyDescent="0.25">
      <c r="B44" s="109" t="s">
        <v>213</v>
      </c>
      <c r="C44" s="200" t="s">
        <v>249</v>
      </c>
      <c r="D44" s="201" t="s">
        <v>249</v>
      </c>
      <c r="E44" s="134"/>
    </row>
    <row r="45" spans="2:5" x14ac:dyDescent="0.25">
      <c r="B45" s="94" t="s">
        <v>25</v>
      </c>
      <c r="C45" s="17">
        <v>1</v>
      </c>
      <c r="D45" s="132">
        <v>1</v>
      </c>
      <c r="E45" s="135"/>
    </row>
    <row r="46" spans="2:5" x14ac:dyDescent="0.25">
      <c r="B46" s="94" t="s">
        <v>217</v>
      </c>
      <c r="C46" s="38">
        <f>IF(C44="ze = h, wysokość zalecana",C24,IF(C44="ze = h - b",C24-C25,IF(C44="ze = b",C25,IF(C44="ze = ?, wpisz tu wysokość",0,C44))))</f>
        <v>25</v>
      </c>
      <c r="D46" s="38">
        <f>IF(D44="ze = h, wysokość zalecana",D24,IF(D44="ze = h - b",D24-D25,IF(D44="ze = b",D25,IF(D44="ze = ?, wpisz tu wysokość",0,D44))))</f>
        <v>25</v>
      </c>
      <c r="E46" s="4"/>
    </row>
    <row r="47" spans="2:5" x14ac:dyDescent="0.25">
      <c r="B47" t="s">
        <v>182</v>
      </c>
      <c r="C47" s="43">
        <f>IF(C45*C46&gt;=C19,C45*C46,C19)</f>
        <v>25</v>
      </c>
      <c r="D47" s="43">
        <f>IF(D45*D46&gt;=C19,D45*D46,C19)</f>
        <v>25</v>
      </c>
      <c r="E47" s="4"/>
    </row>
    <row r="48" spans="2:5" x14ac:dyDescent="0.25">
      <c r="B48" t="s">
        <v>26</v>
      </c>
      <c r="C48" s="42">
        <f>IF(C47&lt;=200,C21*LN(C47/C18),C21*LN(200/C18))</f>
        <v>0.9526344098482824</v>
      </c>
      <c r="D48" s="42">
        <f>IF(D47&lt;=200,C21*LN(D47/C18),C21*LN(200/C18))</f>
        <v>0.9526344098482824</v>
      </c>
      <c r="E48" s="4"/>
    </row>
    <row r="49" spans="2:5" x14ac:dyDescent="0.25">
      <c r="B49" t="s">
        <v>27</v>
      </c>
      <c r="C49" s="197">
        <v>1</v>
      </c>
      <c r="D49" s="36">
        <f>C49</f>
        <v>1</v>
      </c>
      <c r="E49" s="4"/>
    </row>
    <row r="50" spans="2:5" x14ac:dyDescent="0.25">
      <c r="B50" t="s">
        <v>246</v>
      </c>
      <c r="C50" s="43">
        <f>C48*C49*C12</f>
        <v>24.768494656055342</v>
      </c>
      <c r="D50" s="43">
        <f>D48*D49*C12</f>
        <v>24.768494656055342</v>
      </c>
      <c r="E50" s="4"/>
    </row>
    <row r="51" spans="2:5" x14ac:dyDescent="0.25">
      <c r="B51" t="s">
        <v>24</v>
      </c>
      <c r="C51" s="17">
        <v>1</v>
      </c>
      <c r="D51" s="132">
        <f>C51</f>
        <v>1</v>
      </c>
      <c r="E51" s="4"/>
    </row>
    <row r="52" spans="2:5" x14ac:dyDescent="0.25">
      <c r="B52" t="s">
        <v>28</v>
      </c>
      <c r="C52" s="42">
        <f>IF(C47&lt;=200,C51/(C49*LN(C47/C18)),C51/(C49*LN(200/C18)))</f>
        <v>0.22609862643709888</v>
      </c>
      <c r="D52" s="42">
        <f>IF(D47&lt;=200,D51/(D49*LN(D47/C18)),D51/(D49*LN(200/C18)))</f>
        <v>0.22609862643709888</v>
      </c>
      <c r="E52" s="4"/>
    </row>
    <row r="53" spans="2:5" x14ac:dyDescent="0.25">
      <c r="B53" t="s">
        <v>85</v>
      </c>
      <c r="C53" s="124">
        <f>((1+7*C52)*0.5*1.25*C50^2)/1000</f>
        <v>0.99026536121662001</v>
      </c>
      <c r="D53" s="124">
        <f>((1+7*D52)*0.5*1.25*D50^2)/1000</f>
        <v>0.99026536121662001</v>
      </c>
      <c r="E53" s="4"/>
    </row>
    <row r="54" spans="2:5" x14ac:dyDescent="0.25">
      <c r="C54" s="6"/>
      <c r="D54" s="41"/>
      <c r="E54" s="4"/>
    </row>
    <row r="55" spans="2:5" x14ac:dyDescent="0.25">
      <c r="B55" s="228" t="s">
        <v>56</v>
      </c>
      <c r="C55" s="228"/>
      <c r="D55" s="41"/>
      <c r="E55" s="4"/>
    </row>
    <row r="56" spans="2:5" x14ac:dyDescent="0.25">
      <c r="B56" t="s">
        <v>182</v>
      </c>
      <c r="C56" s="36">
        <f>IF(C47&lt;C19,C19,IF(C47&gt;C20,C20,C47))</f>
        <v>25</v>
      </c>
      <c r="D56" s="36">
        <f>IF(D47&lt;C19,C19,IF(D47&gt;C20,C20,D47))</f>
        <v>25</v>
      </c>
      <c r="E56" s="4"/>
    </row>
    <row r="57" spans="2:5" x14ac:dyDescent="0.25">
      <c r="B57" t="s">
        <v>26</v>
      </c>
      <c r="C57" s="42">
        <f>IF(C16=0,1.3*(C56/10)^0.11,IF(C16="I",1.2*(C56/10)^0.13,IF(C16="II",1*(C56/10)^0.17,IF(C16="III",0.8*(C56/10)^0.19,IF(C16="IV",0.6*(C56/10)^0.24,"-")))))</f>
        <v>0.95213512878920248</v>
      </c>
      <c r="D57" s="42">
        <f>IF(C16=0,1.3*(D56/10)^0.11,IF(C16="I",1.2*(D56/10)^0.13,IF(C16="II",1*(D56/10)^0.17,IF(C16="III",0.8*(D56/10)^0.19,IF(C16="IV",0.6*(D56/10)^0.24,"-")))))</f>
        <v>0.95213512878920248</v>
      </c>
      <c r="E57" s="4"/>
    </row>
    <row r="58" spans="2:5" x14ac:dyDescent="0.25">
      <c r="B58" t="s">
        <v>27</v>
      </c>
      <c r="C58" s="36">
        <f>C49</f>
        <v>1</v>
      </c>
      <c r="D58" s="36">
        <f>C49</f>
        <v>1</v>
      </c>
      <c r="E58" s="4"/>
    </row>
    <row r="59" spans="2:5" x14ac:dyDescent="0.25">
      <c r="B59" t="s">
        <v>246</v>
      </c>
      <c r="C59" s="43">
        <f>C57*C58*C12</f>
        <v>24.755513348519266</v>
      </c>
      <c r="D59" s="43">
        <f>D57*D58*C12</f>
        <v>24.755513348519266</v>
      </c>
      <c r="E59" s="4"/>
    </row>
    <row r="60" spans="2:5" x14ac:dyDescent="0.25">
      <c r="B60" t="s">
        <v>24</v>
      </c>
      <c r="C60" s="132">
        <f>C51</f>
        <v>1</v>
      </c>
      <c r="D60" s="132">
        <f>C51</f>
        <v>1</v>
      </c>
      <c r="E60" s="4"/>
    </row>
    <row r="61" spans="2:5" x14ac:dyDescent="0.25">
      <c r="B61" t="s">
        <v>28</v>
      </c>
      <c r="C61" s="42">
        <f>C52</f>
        <v>0.22609862643709888</v>
      </c>
      <c r="D61" s="42">
        <f>D52</f>
        <v>0.22609862643709888</v>
      </c>
      <c r="E61" s="4"/>
    </row>
    <row r="62" spans="2:5" x14ac:dyDescent="0.25">
      <c r="B62" t="s">
        <v>85</v>
      </c>
      <c r="C62" s="124">
        <f>((1+7*C61)*0.5*1.25*C59^2)/1000</f>
        <v>0.98922762592412639</v>
      </c>
      <c r="D62" s="124">
        <f>((1+7*D61)*0.5*1.25*D59^2)/1000</f>
        <v>0.98922762592412639</v>
      </c>
      <c r="E62" s="4"/>
    </row>
    <row r="63" spans="2:5" x14ac:dyDescent="0.25">
      <c r="C63" s="6"/>
      <c r="E63" s="4"/>
    </row>
    <row r="64" spans="2:5" x14ac:dyDescent="0.25">
      <c r="B64" s="228" t="s">
        <v>57</v>
      </c>
      <c r="C64" s="228"/>
      <c r="E64" s="4"/>
    </row>
    <row r="65" spans="2:5" x14ac:dyDescent="0.25">
      <c r="B65" t="s">
        <v>58</v>
      </c>
      <c r="C65" s="44">
        <f>IF(C16=0,3*(C47/10)^0.17,IF(C16="I",2.8*(C47/10)^0.19,IF(C16="II",2.3*(C47/10)^0.24,IF(C16="III",1.9*(C47/10)^0.26,IF(C16="IV",1.5*(C47/10)^0.29,"-")))))</f>
        <v>2.4111154348387354</v>
      </c>
      <c r="D65" s="44">
        <f>IF(C16=0,3*(D47/10)^0.17,IF(C16="I",2.8*(D47/10)^0.19,IF(C16="II",2.3*(D47/10)^0.24,IF(C16="III",1.9*(D47/10)^0.26,IF(C16="IV",1.5*(D47/10)^0.29,"-")))))</f>
        <v>2.4111154348387354</v>
      </c>
      <c r="E65" s="4"/>
    </row>
    <row r="66" spans="2:5" x14ac:dyDescent="0.25">
      <c r="B66" t="s">
        <v>86</v>
      </c>
      <c r="C66" s="44">
        <f>(0.5*1.25*C12^2)/1000</f>
        <v>0.42249999999999999</v>
      </c>
      <c r="D66" s="44">
        <f>(0.5*1.25*C12^2)/1000</f>
        <v>0.42249999999999999</v>
      </c>
      <c r="E66" s="4"/>
    </row>
    <row r="67" spans="2:5" x14ac:dyDescent="0.25">
      <c r="B67" t="s">
        <v>85</v>
      </c>
      <c r="C67" s="124">
        <f>C65*C66</f>
        <v>1.0186962712193657</v>
      </c>
      <c r="D67" s="124">
        <f>D65*D66</f>
        <v>1.0186962712193657</v>
      </c>
      <c r="E67" s="4"/>
    </row>
    <row r="68" spans="2:5" x14ac:dyDescent="0.25">
      <c r="C68" s="44"/>
      <c r="D68" s="41"/>
      <c r="E68" s="4"/>
    </row>
    <row r="69" spans="2:5" x14ac:dyDescent="0.25">
      <c r="B69" s="13" t="s">
        <v>53</v>
      </c>
      <c r="C69" s="44"/>
      <c r="D69" s="41"/>
      <c r="E69" s="4"/>
    </row>
    <row r="70" spans="2:5" x14ac:dyDescent="0.25">
      <c r="B70" t="s">
        <v>52</v>
      </c>
      <c r="C70" s="202" t="s">
        <v>64</v>
      </c>
      <c r="D70" s="41"/>
      <c r="E70" s="4"/>
    </row>
    <row r="71" spans="2:5" x14ac:dyDescent="0.25">
      <c r="B71" t="s">
        <v>85</v>
      </c>
      <c r="C71" s="124">
        <f>IF(C70="EN",C53,IF(C70="NA, co ≥ 1",C62,IF(C70="NA, co = 1",C67,"-")))</f>
        <v>1.0186962712193657</v>
      </c>
      <c r="D71" s="124">
        <f>IF(C70="EN",D53,IF(C70="NA, co ≥ 1",D62,IF(C70="NA, co = 1",D67,"-")))</f>
        <v>1.0186962712193657</v>
      </c>
      <c r="E71" s="4"/>
    </row>
    <row r="72" spans="2:5" x14ac:dyDescent="0.25">
      <c r="C72" s="22"/>
      <c r="D72" s="22"/>
      <c r="E72" s="4"/>
    </row>
    <row r="73" spans="2:5" x14ac:dyDescent="0.25">
      <c r="B73" s="13" t="s">
        <v>29</v>
      </c>
      <c r="C73" s="22"/>
      <c r="D73" s="22"/>
      <c r="E73" s="7"/>
    </row>
    <row r="74" spans="2:5" x14ac:dyDescent="0.25">
      <c r="B74" s="20" t="s">
        <v>39</v>
      </c>
      <c r="C74" s="37">
        <f>C24/C26</f>
        <v>0.8928571428571429</v>
      </c>
      <c r="D74" s="37">
        <f>D24/D26</f>
        <v>2.5</v>
      </c>
      <c r="E74" s="7"/>
    </row>
    <row r="75" spans="2:5" x14ac:dyDescent="0.25">
      <c r="B75" t="s">
        <v>13</v>
      </c>
      <c r="C75" s="41"/>
      <c r="D75" s="41"/>
      <c r="E75" s="7"/>
    </row>
    <row r="76" spans="2:5" x14ac:dyDescent="0.25">
      <c r="B76" s="31" t="s">
        <v>30</v>
      </c>
      <c r="C76" s="41">
        <v>-1.4</v>
      </c>
      <c r="D76" s="41">
        <v>-1.4</v>
      </c>
      <c r="E76" s="5"/>
    </row>
    <row r="77" spans="2:5" x14ac:dyDescent="0.25">
      <c r="B77" s="31" t="s">
        <v>31</v>
      </c>
      <c r="C77" s="41">
        <v>-1.1000000000000001</v>
      </c>
      <c r="D77" s="41">
        <v>-1.1000000000000001</v>
      </c>
      <c r="E77" s="5"/>
    </row>
    <row r="78" spans="2:5" x14ac:dyDescent="0.25">
      <c r="B78" s="31" t="s">
        <v>32</v>
      </c>
      <c r="C78" s="41">
        <v>-0.5</v>
      </c>
      <c r="D78" s="41">
        <v>-0.5</v>
      </c>
      <c r="E78" s="5"/>
    </row>
    <row r="79" spans="2:5" x14ac:dyDescent="0.25">
      <c r="B79" s="31" t="s">
        <v>33</v>
      </c>
      <c r="C79" s="43">
        <f>IF(C74&lt;=0.25,-0.3,IF(AND(C74&gt;0.25,C74&lt;1),-0.23333333333-0.26666666667*C74,IF(AND(C74&gt;=1,C74&lt;=5),-0.45-0.05*C74,-0.7)))</f>
        <v>-0.47142857142821426</v>
      </c>
      <c r="D79" s="43">
        <f>IF(D74&lt;=0.25,-0.3,IF(AND(D74&gt;0.25,D74&lt;1),-0.23333333333-0.26666666667*D74,IF(AND(D74&gt;=1,D74&lt;=5),-0.45-0.05*D74,-0.7)))</f>
        <v>-0.57499999999999996</v>
      </c>
      <c r="E79" s="5"/>
    </row>
    <row r="80" spans="2:5" x14ac:dyDescent="0.25">
      <c r="B80" s="31"/>
      <c r="C80" s="43"/>
      <c r="D80" s="43"/>
      <c r="E80" s="5"/>
    </row>
    <row r="81" spans="2:5" x14ac:dyDescent="0.25">
      <c r="B81" s="23" t="s">
        <v>49</v>
      </c>
      <c r="C81" s="45"/>
      <c r="D81" s="41"/>
      <c r="E81" s="5"/>
    </row>
    <row r="82" spans="2:5" x14ac:dyDescent="0.25">
      <c r="B82" t="s">
        <v>87</v>
      </c>
      <c r="C82" s="41"/>
      <c r="D82" s="41"/>
      <c r="E82" s="5"/>
    </row>
    <row r="83" spans="2:5" x14ac:dyDescent="0.25">
      <c r="B83" s="31" t="s">
        <v>30</v>
      </c>
      <c r="C83" s="44">
        <f>C71*C76</f>
        <v>-1.4261747797071118</v>
      </c>
      <c r="D83" s="44">
        <f>D71*D76</f>
        <v>-1.4261747797071118</v>
      </c>
      <c r="E83" s="14"/>
    </row>
    <row r="84" spans="2:5" x14ac:dyDescent="0.25">
      <c r="B84" s="31" t="s">
        <v>31</v>
      </c>
      <c r="C84" s="44">
        <f>IF(C32=0,0,C71*C77)</f>
        <v>-1.1205658983413023</v>
      </c>
      <c r="D84" s="44">
        <f>IF(D32=0,0,D71*D77)</f>
        <v>-1.1205658983413023</v>
      </c>
      <c r="E84" s="14"/>
    </row>
    <row r="85" spans="2:5" x14ac:dyDescent="0.25">
      <c r="B85" s="31" t="s">
        <v>32</v>
      </c>
      <c r="C85" s="44">
        <f>IF(C33=0,0,C71*C78)</f>
        <v>-0.50934813560968284</v>
      </c>
      <c r="D85" s="44">
        <f>IF(D33=0,0,D71*D78)</f>
        <v>0</v>
      </c>
      <c r="E85" s="14"/>
    </row>
    <row r="86" spans="2:5" x14ac:dyDescent="0.25">
      <c r="B86" s="31" t="s">
        <v>33</v>
      </c>
      <c r="C86" s="44">
        <f>C71*C79</f>
        <v>-0.48024252786019428</v>
      </c>
      <c r="D86" s="44">
        <f>D71*D79</f>
        <v>-0.58575035595113523</v>
      </c>
      <c r="E86" s="14"/>
    </row>
    <row r="87" spans="2:5" x14ac:dyDescent="0.25">
      <c r="B87" t="s">
        <v>34</v>
      </c>
      <c r="C87" s="203">
        <v>1.5</v>
      </c>
      <c r="D87" s="46">
        <f>C87</f>
        <v>1.5</v>
      </c>
      <c r="E87" s="15"/>
    </row>
    <row r="88" spans="2:5" x14ac:dyDescent="0.25">
      <c r="B88" s="174" t="s">
        <v>293</v>
      </c>
      <c r="C88" s="203">
        <v>0</v>
      </c>
      <c r="D88" s="46">
        <f>C88</f>
        <v>0</v>
      </c>
      <c r="E88" s="15"/>
    </row>
    <row r="89" spans="2:5" x14ac:dyDescent="0.25">
      <c r="B89" s="73" t="s">
        <v>210</v>
      </c>
      <c r="C89" s="41"/>
      <c r="D89" s="41"/>
      <c r="E89" s="16"/>
    </row>
    <row r="90" spans="2:5" x14ac:dyDescent="0.25">
      <c r="B90" s="104" t="s">
        <v>30</v>
      </c>
      <c r="C90" s="105">
        <f>IF(C83=0,0,(-1*C83*C87)+C88)</f>
        <v>2.1392621695606677</v>
      </c>
      <c r="D90" s="105">
        <f>IF(D83=0,0,(-1*D83*D87)+D88)</f>
        <v>2.1392621695606677</v>
      </c>
      <c r="E90" s="14"/>
    </row>
    <row r="91" spans="2:5" x14ac:dyDescent="0.25">
      <c r="B91" s="104" t="s">
        <v>31</v>
      </c>
      <c r="C91" s="105">
        <f>IF(C84=0,0,(-1*C84*C87)+C88)</f>
        <v>1.6808488475119534</v>
      </c>
      <c r="D91" s="105">
        <f>IF(D84=0,0,(-1*D84*D87)+D88)</f>
        <v>1.6808488475119534</v>
      </c>
      <c r="E91" s="14"/>
    </row>
    <row r="92" spans="2:5" x14ac:dyDescent="0.25">
      <c r="B92" s="104" t="s">
        <v>32</v>
      </c>
      <c r="C92" s="105">
        <f>IF(C85=0,0,(-1*C85*C87)+C88)</f>
        <v>0.76402220341452431</v>
      </c>
      <c r="D92" s="105">
        <f>IF(D85=0,0,(-1*D85*D87)+D88)</f>
        <v>0</v>
      </c>
      <c r="E92" s="14"/>
    </row>
    <row r="93" spans="2:5" x14ac:dyDescent="0.25">
      <c r="B93" s="104" t="s">
        <v>33</v>
      </c>
      <c r="C93" s="105">
        <f>IF(C86=0,0,(-1*C86*C87)+C88)</f>
        <v>0.72036379179029142</v>
      </c>
      <c r="D93" s="105">
        <f>IF(D86=0,0,(-1*D86*D87)+D88)</f>
        <v>0.87862553392670284</v>
      </c>
      <c r="E93" s="14"/>
    </row>
    <row r="94" spans="2:5" ht="30" customHeight="1" x14ac:dyDescent="0.25">
      <c r="B94" s="16"/>
      <c r="C94" s="47" t="str">
        <f>IF(AND(D93&gt;C92,C36="A-B-C-B-A"),"Uwaga! W polu C decyduje obciążenie z pola E"," ")</f>
        <v>Uwaga! W polu C decyduje obciążenie z pola E</v>
      </c>
      <c r="D94" s="128" t="str">
        <f>IF(AND(C93&gt;D92,D36="A-B-C-B-A"),"Uwaga! W polu C decyduje obciążenie z pola E"," ")</f>
        <v xml:space="preserve"> </v>
      </c>
      <c r="E94" s="16"/>
    </row>
    <row r="95" spans="2:5" ht="15" customHeight="1" x14ac:dyDescent="0.25">
      <c r="B95" s="16"/>
      <c r="C95" s="47"/>
      <c r="D95" s="47"/>
      <c r="E95" s="16"/>
    </row>
    <row r="96" spans="2:5" x14ac:dyDescent="0.25">
      <c r="B96" s="25" t="s">
        <v>50</v>
      </c>
      <c r="C96" s="100" t="s">
        <v>208</v>
      </c>
      <c r="D96" s="99" t="s">
        <v>209</v>
      </c>
    </row>
    <row r="97" spans="2:4" x14ac:dyDescent="0.25">
      <c r="B97" s="59" t="s">
        <v>47</v>
      </c>
      <c r="C97" s="106" t="str">
        <f>C40</f>
        <v>2,0 - 8,0 - 8,0 - 8,0 - 2,0</v>
      </c>
      <c r="D97" s="106">
        <f>D40</f>
        <v>10</v>
      </c>
    </row>
    <row r="98" spans="2:4" x14ac:dyDescent="0.25">
      <c r="B98" s="73" t="s">
        <v>211</v>
      </c>
      <c r="C98" s="107" t="str">
        <f>IF(C36="A",C90,IF(C36="A-B-A",TEXT(C90,"####0,0#")&amp;" - "&amp;TEXT(C91,"####0,0#")&amp;" - "&amp;TEXT(C90,"####0,0#"),TEXT(C90,"####0,0#")&amp;" - "&amp;TEXT(C91,"####0,0#")&amp;" - "&amp;IF(C92&gt;=D93,TEXT(C92,"####0,0#"),TEXT(D93,"####0,0#"))&amp;" - "&amp;TEXT(C91,"####0,0#")&amp;" - "&amp;TEXT(C90,"####0,0#")))</f>
        <v>2,14 - 1,68 - 0,88 - 1,68 - 2,14</v>
      </c>
      <c r="D98" s="107">
        <f>IF(D36="A",D90,IF(D36="A-B-A",TEXT(D90,"####0,0#")&amp;" - "&amp;TEXT(D91,"####0,0#")&amp;" - "&amp;TEXT(D90,"####0,0#"),TEXT(D90,"####0,0#")&amp;" - "&amp;TEXT(D91,"####0,0#")&amp;" - "&amp;IF(D92&gt;=C93,TEXT(D92,"####0,0#"),TEXT(C93,"####0,0#"))&amp;" - "&amp;TEXT(D91,"####0,0#")&amp;" - "&amp;TEXT(D90,"####0,0#")))</f>
        <v>2.1392621695606677</v>
      </c>
    </row>
    <row r="100" spans="2:4" x14ac:dyDescent="0.25">
      <c r="C100" s="216"/>
      <c r="D100" s="216"/>
    </row>
    <row r="101" spans="2:4" x14ac:dyDescent="0.25">
      <c r="C101" s="216"/>
      <c r="D101" s="216"/>
    </row>
    <row r="102" spans="2:4" x14ac:dyDescent="0.25">
      <c r="C102" s="216"/>
      <c r="D102" s="216"/>
    </row>
    <row r="103" spans="2:4" x14ac:dyDescent="0.25">
      <c r="C103" s="216"/>
      <c r="D103" s="216"/>
    </row>
    <row r="104" spans="2:4" x14ac:dyDescent="0.25">
      <c r="C104" s="216"/>
      <c r="D104" s="216"/>
    </row>
    <row r="105" spans="2:4" x14ac:dyDescent="0.25">
      <c r="C105" s="216"/>
      <c r="D105" s="216"/>
    </row>
    <row r="106" spans="2:4" x14ac:dyDescent="0.25">
      <c r="C106" s="216"/>
      <c r="D106" s="216"/>
    </row>
    <row r="107" spans="2:4" x14ac:dyDescent="0.25">
      <c r="C107" s="216"/>
      <c r="D107" s="216"/>
    </row>
    <row r="108" spans="2:4" x14ac:dyDescent="0.25">
      <c r="C108" s="216"/>
      <c r="D108" s="216"/>
    </row>
    <row r="109" spans="2:4" x14ac:dyDescent="0.25">
      <c r="C109" s="216"/>
      <c r="D109" s="216"/>
    </row>
    <row r="110" spans="2:4" x14ac:dyDescent="0.25">
      <c r="C110" s="216"/>
      <c r="D110" s="216"/>
    </row>
    <row r="111" spans="2:4" x14ac:dyDescent="0.25">
      <c r="C111" s="216"/>
      <c r="D111" s="216"/>
    </row>
    <row r="112" spans="2:4" x14ac:dyDescent="0.25">
      <c r="C112" s="1"/>
      <c r="D112" s="1"/>
    </row>
    <row r="113" spans="2:4" x14ac:dyDescent="0.25">
      <c r="C113" s="1"/>
      <c r="D113" s="1"/>
    </row>
    <row r="114" spans="2:4" x14ac:dyDescent="0.25">
      <c r="C114" s="1"/>
      <c r="D114" s="1"/>
    </row>
    <row r="115" spans="2:4" ht="15" customHeight="1" x14ac:dyDescent="0.25"/>
    <row r="116" spans="2:4" ht="15" hidden="1" customHeight="1" x14ac:dyDescent="0.25">
      <c r="B116" s="26">
        <v>1</v>
      </c>
      <c r="D116" t="s">
        <v>249</v>
      </c>
    </row>
    <row r="117" spans="2:4" ht="15" hidden="1" customHeight="1" x14ac:dyDescent="0.25">
      <c r="B117" s="26">
        <v>2</v>
      </c>
    </row>
    <row r="118" spans="2:4" ht="15" hidden="1" customHeight="1" x14ac:dyDescent="0.25">
      <c r="B118" s="26">
        <v>3</v>
      </c>
      <c r="D118" t="s">
        <v>249</v>
      </c>
    </row>
    <row r="119" spans="2:4" ht="15" hidden="1" customHeight="1" x14ac:dyDescent="0.25">
      <c r="B119" s="26" t="s">
        <v>224</v>
      </c>
      <c r="D119" t="s">
        <v>248</v>
      </c>
    </row>
    <row r="120" spans="2:4" ht="15" hidden="1" customHeight="1" x14ac:dyDescent="0.25">
      <c r="B120" s="26">
        <v>0</v>
      </c>
    </row>
    <row r="121" spans="2:4" ht="15" hidden="1" customHeight="1" x14ac:dyDescent="0.25">
      <c r="B121" t="s">
        <v>60</v>
      </c>
      <c r="D121" t="s">
        <v>249</v>
      </c>
    </row>
    <row r="122" spans="2:4" ht="15" hidden="1" customHeight="1" x14ac:dyDescent="0.25">
      <c r="B122" t="s">
        <v>51</v>
      </c>
      <c r="D122" t="s">
        <v>250</v>
      </c>
    </row>
    <row r="123" spans="2:4" ht="15" hidden="1" customHeight="1" x14ac:dyDescent="0.25">
      <c r="B123" t="s">
        <v>61</v>
      </c>
      <c r="D123" t="s">
        <v>248</v>
      </c>
    </row>
    <row r="124" spans="2:4" ht="15" hidden="1" customHeight="1" x14ac:dyDescent="0.25">
      <c r="B124" t="s">
        <v>62</v>
      </c>
      <c r="D124" t="s">
        <v>251</v>
      </c>
    </row>
    <row r="125" spans="2:4" ht="15" hidden="1" customHeight="1" x14ac:dyDescent="0.25">
      <c r="B125" t="s">
        <v>63</v>
      </c>
      <c r="C125" t="s">
        <v>184</v>
      </c>
    </row>
    <row r="126" spans="2:4" ht="15" hidden="1" customHeight="1" x14ac:dyDescent="0.25">
      <c r="B126" t="s">
        <v>66</v>
      </c>
      <c r="C126" t="s">
        <v>185</v>
      </c>
    </row>
    <row r="127" spans="2:4" ht="15" hidden="1" customHeight="1" x14ac:dyDescent="0.25">
      <c r="B127" t="s">
        <v>65</v>
      </c>
    </row>
    <row r="128" spans="2:4" ht="15" customHeight="1" x14ac:dyDescent="0.25"/>
  </sheetData>
  <sheetProtection algorithmName="SHA-512" hashValue="Jlm6POunQXLww6AOulCC1JLoUYaiEhNEV+0vZgZryjz+VF+rnt3ESgNpBGwdQILtt5EDfzyoYev5Vo4p6xhaVA==" saltValue="GhOIehzhvh3NxGa5Gxxf9Q==" spinCount="100000" sheet="1" objects="1" scenarios="1"/>
  <mergeCells count="8">
    <mergeCell ref="C100:D111"/>
    <mergeCell ref="B55:C55"/>
    <mergeCell ref="B64:C64"/>
    <mergeCell ref="D8:E8"/>
    <mergeCell ref="B2:G3"/>
    <mergeCell ref="B4:G4"/>
    <mergeCell ref="C17:I17"/>
    <mergeCell ref="B42:C42"/>
  </mergeCells>
  <conditionalFormatting sqref="C94">
    <cfRule type="expression" dxfId="13" priority="2">
      <formula>IF($C$94="Uwaga! W polu C decyduje obciążenie z pola E",1)</formula>
    </cfRule>
  </conditionalFormatting>
  <conditionalFormatting sqref="D94">
    <cfRule type="expression" dxfId="12" priority="1">
      <formula>IF($D$94="Uwaga! W polu C decyduje obciążenie z pola E",1)</formula>
    </cfRule>
  </conditionalFormatting>
  <dataValidations count="5">
    <dataValidation type="list" allowBlank="1" showInputMessage="1" showErrorMessage="1" sqref="C7" xr:uid="{00000000-0002-0000-0500-000000000000}">
      <formula1>strefyn</formula1>
    </dataValidation>
    <dataValidation type="list" allowBlank="1" showInputMessage="1" showErrorMessage="1" sqref="C16" xr:uid="{00000000-0002-0000-0500-000001000000}">
      <formula1>Teren</formula1>
    </dataValidation>
    <dataValidation type="list" allowBlank="1" showInputMessage="1" showErrorMessage="1" sqref="C70" xr:uid="{00000000-0002-0000-0500-000002000000}">
      <formula1>Norma</formula1>
    </dataValidation>
    <dataValidation type="list" allowBlank="1" showInputMessage="1" sqref="C44:D44" xr:uid="{00000000-0002-0000-0500-000003000000}">
      <formula1>IF(C43="h ≤ b",wyso1,IF(C43="b &lt; h ≤ 2b",wyso2,IF(C43="h &gt; 2b",wyso3)))</formula1>
    </dataValidation>
    <dataValidation allowBlank="1" showInputMessage="1" sqref="C43:D43" xr:uid="{00000000-0002-0000-0500-000004000000}"/>
  </dataValidations>
  <hyperlinks>
    <hyperlink ref="D8" r:id="rId1" xr:uid="{00000000-0004-0000-0500-000000000000}"/>
  </hyperlinks>
  <pageMargins left="0.7" right="0.7" top="0.75" bottom="0.75" header="0.3" footer="0.3"/>
  <pageSetup paperSize="9" orientation="portrait" horizontalDpi="1200" verticalDpi="1200" r:id="rId2"/>
  <ignoredErrors>
    <ignoredError sqref="C59:D59 D50" formula="1"/>
  </ignoredError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213"/>
  <sheetViews>
    <sheetView workbookViewId="0">
      <selection activeCell="B2" sqref="B2:G3"/>
    </sheetView>
  </sheetViews>
  <sheetFormatPr defaultRowHeight="15" x14ac:dyDescent="0.25"/>
  <cols>
    <col min="2" max="2" width="63.28515625" customWidth="1"/>
    <col min="3" max="12" width="27.42578125" customWidth="1"/>
  </cols>
  <sheetData>
    <row r="2" spans="2:9" x14ac:dyDescent="0.25">
      <c r="B2" s="230" t="s">
        <v>206</v>
      </c>
      <c r="C2" s="230"/>
      <c r="D2" s="230"/>
      <c r="E2" s="230"/>
      <c r="F2" s="230"/>
      <c r="G2" s="230"/>
    </row>
    <row r="3" spans="2:9" x14ac:dyDescent="0.25">
      <c r="B3" s="230"/>
      <c r="C3" s="230"/>
      <c r="D3" s="230"/>
      <c r="E3" s="230"/>
      <c r="F3" s="230"/>
      <c r="G3" s="230"/>
      <c r="H3" s="94"/>
      <c r="I3" s="94"/>
    </row>
    <row r="4" spans="2:9" ht="15" customHeight="1" x14ac:dyDescent="0.25">
      <c r="B4" s="231" t="s">
        <v>254</v>
      </c>
      <c r="C4" s="231"/>
      <c r="D4" s="231"/>
      <c r="E4" s="231"/>
      <c r="F4" s="231"/>
      <c r="G4" s="231"/>
      <c r="H4" s="94"/>
      <c r="I4" s="94"/>
    </row>
    <row r="5" spans="2:9" x14ac:dyDescent="0.25">
      <c r="H5" s="94"/>
      <c r="I5" s="94"/>
    </row>
    <row r="6" spans="2:9" x14ac:dyDescent="0.25">
      <c r="B6" s="10" t="s">
        <v>14</v>
      </c>
      <c r="H6" s="94"/>
      <c r="I6" s="94"/>
    </row>
    <row r="7" spans="2:9" x14ac:dyDescent="0.25">
      <c r="B7" t="s">
        <v>12</v>
      </c>
      <c r="C7" s="199">
        <v>2</v>
      </c>
      <c r="D7" s="41"/>
      <c r="E7" s="48"/>
      <c r="F7" s="41"/>
      <c r="G7" s="41"/>
      <c r="H7" s="12"/>
      <c r="I7" s="12"/>
    </row>
    <row r="8" spans="2:9" x14ac:dyDescent="0.25">
      <c r="B8" t="s">
        <v>7</v>
      </c>
      <c r="C8" s="199">
        <v>120</v>
      </c>
      <c r="D8" s="237" t="s">
        <v>77</v>
      </c>
      <c r="E8" s="237"/>
      <c r="F8" s="41"/>
      <c r="G8" s="41"/>
      <c r="H8" s="12"/>
      <c r="I8" s="12"/>
    </row>
    <row r="9" spans="2:9" x14ac:dyDescent="0.25">
      <c r="B9" t="s">
        <v>8</v>
      </c>
      <c r="C9" s="40">
        <f>IF(AND(C7=1,C8&lt;=300),22,IF(AND(C7=1,C8&gt;300),22*(1+0.0006*(C8-300)),IF(C7=2,26,IF(AND(C7=3,C8&lt;=300),22,IF(AND(C7=3,C8&gt;300),22*(1+0.0006*(C8-300)),IF(AND(OR(C7="1 przy granicy z 2",C7="2 przy granicy z 1"),C8&lt;=300),24,IF(AND(OR(C7="1 przy granicy z 2",C7="2 przy granicy z 1"),C8&gt;300),(22*(1+0.0006*(C8-300))+26)/2,"-")))))))</f>
        <v>26</v>
      </c>
      <c r="D9" s="41"/>
      <c r="E9" s="48"/>
      <c r="F9" s="41"/>
      <c r="G9" s="41"/>
      <c r="H9" s="12"/>
      <c r="I9" s="12"/>
    </row>
    <row r="10" spans="2:9" x14ac:dyDescent="0.25">
      <c r="B10" t="s">
        <v>10</v>
      </c>
      <c r="C10" s="90">
        <v>1</v>
      </c>
      <c r="D10" s="41"/>
      <c r="E10" s="48"/>
      <c r="F10" s="41"/>
      <c r="G10" s="41"/>
      <c r="H10" s="12"/>
      <c r="I10" s="12"/>
    </row>
    <row r="11" spans="2:9" x14ac:dyDescent="0.25">
      <c r="B11" t="s">
        <v>90</v>
      </c>
      <c r="C11" s="203">
        <v>10</v>
      </c>
      <c r="D11" s="41"/>
      <c r="E11" s="48"/>
      <c r="F11" s="41"/>
      <c r="G11" s="41"/>
      <c r="H11" s="234"/>
      <c r="I11" s="12"/>
    </row>
    <row r="12" spans="2:9" x14ac:dyDescent="0.25">
      <c r="B12" t="s">
        <v>79</v>
      </c>
      <c r="C12" s="51" t="s">
        <v>88</v>
      </c>
      <c r="D12" s="49" t="s">
        <v>80</v>
      </c>
      <c r="E12" s="50" t="s">
        <v>81</v>
      </c>
      <c r="F12" s="50" t="s">
        <v>82</v>
      </c>
      <c r="G12" s="50" t="s">
        <v>83</v>
      </c>
      <c r="H12" s="234"/>
      <c r="I12" s="12"/>
    </row>
    <row r="13" spans="2:9" x14ac:dyDescent="0.25">
      <c r="B13" t="s">
        <v>78</v>
      </c>
      <c r="C13" s="51" t="s">
        <v>88</v>
      </c>
      <c r="D13" s="40">
        <f>C11</f>
        <v>10</v>
      </c>
      <c r="E13" s="41">
        <f>IF(D13+90&gt;360,D13+90-360,D13+90)</f>
        <v>100</v>
      </c>
      <c r="F13" s="41">
        <f>IF(E13+90&gt;360,E13+90-360,E13+90)</f>
        <v>190</v>
      </c>
      <c r="G13" s="41">
        <f>IF(F13+90&gt;360,F13+90-360,F13+90)</f>
        <v>280</v>
      </c>
      <c r="H13" s="234"/>
      <c r="I13" s="12"/>
    </row>
    <row r="14" spans="2:9" x14ac:dyDescent="0.25">
      <c r="B14" s="16" t="s">
        <v>219</v>
      </c>
      <c r="C14" s="51" t="s">
        <v>88</v>
      </c>
      <c r="D14" s="17">
        <f>IF(AND(OR(C7=1,C7="1 przy granicy z 2"),D13&gt;15,D13&lt;195),0.7,IF(AND(OR(C7=1, C7="1 przy granicy z 2"),D13&gt;=195,D13&lt;225),0.8,IF(AND(OR(C7=1, C7="1 przy granicy z 2"),D13&gt;=225,D13&lt;255),0.9,IF(AND(OR(C7=1,C7="1 przy granicy z 2"),D13&gt;=255,D13&lt;=315),1,IF(AND(OR(C7=1,C7="1 przy granicy z 2"),D13&gt;315,D13&lt;=345),0.9,IF(OR(C7=1,C7="1 przy granicy z 2"),0.8,IF(AND(OR(C7=2,C7="2 przy granicy z 1"),D13&gt;15,D13&lt;=45),0.9,IF(AND(OR(C7=2,C7="2 przy granicy z 1"),D13&gt;45,D13&lt;=75),0.8,IF(AND(OR(C7=2,C7="2 przy granicy z 1"),D13&gt;75,D13&lt;195),0.7,IF(AND(OR(C7=2,C7="2 przy granicy z 1"),D13&gt;=195,D13&lt;225),0.8,IF(AND(OR(C7=2,C7="2 przy granicy z 1"),D13&gt;=225,D13&lt;255),0.9,IF(OR(C7=2,C7="2 przy granicy z 1"),1,IF(AND(C7=3,D13&gt;15,D13&lt;135),0.7,IF(AND(C7=3,D13&gt;=135,D13&lt;165),0.9,IF(AND(C7=3,D13&gt;=165,D13&lt;=345),1,IF(C7=3,0.8,0))))))))))))))))</f>
        <v>1</v>
      </c>
      <c r="E14" s="17">
        <f>IF(AND(OR(C7=1,C7="1 przy granicy z 2"),E13&gt;15,E13&lt;195),0.7,IF(AND(OR(C7=1, C7="1 przy granicy z 2"),E13&gt;=195,E13&lt;225),0.8,IF(AND(OR(C7=1, C7="1 przy granicy z 2"),E13&gt;=225,E13&lt;255),0.9,IF(AND(OR(C7=1,C7="1 przy granicy z 2"),E13&gt;=255,E13&lt;=315),1,IF(AND(OR(C7=1,C7="1 przy granicy z 2"),E13&gt;315,E13&lt;=345),0.9,IF(OR(C7=1,C7="1 przy granicy z 2"),0.8,IF(AND(OR(C7=2,C7="2 przy granicy z 1"),E13&gt;15,E13&lt;=45),0.9,IF(AND(OR(C7=2,C7="2 przy granicy z 1"),E13&gt;45,E13&lt;=75),0.8,IF(AND(OR(C7=2,C7="2 przy granicy z 1"),E13&gt;75,E13&lt;195),0.7,IF(AND(OR(C7=2,C7="2 przy granicy z 1"),E13&gt;=195,E13&lt;225),0.8,IF(AND(OR(C7=2,C7="2 przy granicy z 1"),E13&gt;=225,E13&lt;255),0.9,IF(OR(C7=2,C7="2 przy granicy z 1"),1,IF(AND(C7=3,E13&gt;15,E13&lt;135),0.7,IF(AND(C7=3,E13&gt;=135,E13&lt;165),0.9,IF(AND(C7=3,E13&gt;=165,E13&lt;=345),1,IF(C7=3,0.8,0))))))))))))))))</f>
        <v>0.7</v>
      </c>
      <c r="F14" s="17">
        <f>IF(AND(OR(C7=1,C7="1 przy granicy z 2"),F13&gt;15,F13&lt;195),0.7,IF(AND(OR(C7=1, C7="1 przy granicy z 2"),F13&gt;=195,F13&lt;225),0.8,IF(AND(OR(C7=1, C7="1 przy granicy z 2"),F13&gt;=225,F13&lt;255),0.9,IF(AND(OR(C7=1,C7="1 przy granicy z 2"),F13&gt;=255,F13&lt;=315),1,IF(AND(OR(C7=1,C7="1 przy granicy z 2"),F13&gt;315,F13&lt;=345),0.9,IF(OR(C7=1,C7="1 przy granicy z 2"),0.8,IF(AND(OR(C7=2,C7="2 przy granicy z 1"),F13&gt;15,F13&lt;=45),0.9,IF(AND(OR(C7=2,C7="2 przy granicy z 1"),F13&gt;45,F13&lt;=75),0.8,IF(AND(OR(C7=2,C7="2 przy granicy z 1"),F13&gt;75,F13&lt;195),0.7,IF(AND(OR(C7=2,C7="2 przy granicy z 1"),F13&gt;=195,F13&lt;225),0.8,IF(AND(OR(C7=2,C7="2 przy granicy z 1"),F13&gt;=225,F13&lt;255),0.9,IF(OR(C7=2,C7="2 przy granicy z 1"),1,IF(AND(C7=3,F13&gt;15,F13&lt;135),0.7,IF(AND(C7=3,F13&gt;=135,F13&lt;165),0.9,IF(AND(C7=3,F13&gt;=165,F13&lt;=345),1,IF(C7=3,0.8,0))))))))))))))))</f>
        <v>0.7</v>
      </c>
      <c r="G14" s="17">
        <f>IF(AND(OR(C7=1,C7="1 przy granicy z 2"),G13&gt;15,G13&lt;195),0.7,IF(AND(OR(C7=1, C7="1 przy granicy z 2"),G13&gt;=195,G13&lt;225),0.8,IF(AND(OR(C7=1, C7="1 przy granicy z 2"),G13&gt;=225,G13&lt;255),0.9,IF(AND(OR(C7=1,C7="1 przy granicy z 2"),G13&gt;=255,G13&lt;=315),1,IF(AND(OR(C7=1,C7="1 przy granicy z 2"),G13&gt;315,G13&lt;=345),0.9,IF(OR(C7=1,C7="1 przy granicy z 2"),0.8,IF(AND(OR(C7=2,C7="2 przy granicy z 1"),G13&gt;15,G13&lt;=45),0.9,IF(AND(OR(C7=2,C7="2 przy granicy z 1"),G13&gt;45,G13&lt;=75),0.8,IF(AND(OR(C7=2,C7="2 przy granicy z 1"),G13&gt;75,G13&lt;195),0.7,IF(AND(OR(C7=2,C7="2 przy granicy z 1"),G13&gt;=195,G13&lt;225),0.8,IF(AND(OR(C7=2,C7="2 przy granicy z 1"),G13&gt;=225,G13&lt;255),0.9,IF(OR(C7=2,C7="2 przy granicy z 1"),1,IF(AND(C7=3,G13&gt;15,G13&lt;135),0.7,IF(AND(C7=3,G13&gt;=135,G13&lt;165),0.9,IF(AND(C7=3,G13&gt;=165,G13&lt;=345),1,IF(C7=3,0.8,0))))))))))))))))</f>
        <v>1</v>
      </c>
      <c r="H14" s="234"/>
      <c r="I14" s="12"/>
    </row>
    <row r="15" spans="2:9" x14ac:dyDescent="0.25">
      <c r="B15" s="16" t="s">
        <v>220</v>
      </c>
      <c r="C15" s="207" t="s">
        <v>218</v>
      </c>
      <c r="D15" s="112" t="str">
        <f>C15</f>
        <v>wartość zależna od kierunku</v>
      </c>
      <c r="E15" s="111" t="str">
        <f>C15</f>
        <v>wartość zależna od kierunku</v>
      </c>
      <c r="F15" s="111" t="str">
        <f>C15</f>
        <v>wartość zależna od kierunku</v>
      </c>
      <c r="G15" s="111" t="str">
        <f>C15</f>
        <v>wartość zależna od kierunku</v>
      </c>
      <c r="H15" s="234"/>
      <c r="I15" s="12"/>
    </row>
    <row r="16" spans="2:9" x14ac:dyDescent="0.25">
      <c r="B16" s="16" t="s">
        <v>221</v>
      </c>
      <c r="C16" s="51" t="s">
        <v>88</v>
      </c>
      <c r="D16" s="17">
        <f>IF(D15="wartość zależna od kierunku",D14,IF(D15="wartość stała maksymalna",1,"?"))</f>
        <v>1</v>
      </c>
      <c r="E16" s="17">
        <f t="shared" ref="E16:G16" si="0">IF(E15="wartość zależna od kierunku",E14,IF(E15="wartość stała maksymalna",1,"?"))</f>
        <v>0.7</v>
      </c>
      <c r="F16" s="17">
        <f t="shared" si="0"/>
        <v>0.7</v>
      </c>
      <c r="G16" s="17">
        <f t="shared" si="0"/>
        <v>1</v>
      </c>
      <c r="H16" s="234"/>
      <c r="I16" s="12"/>
    </row>
    <row r="17" spans="2:9" x14ac:dyDescent="0.25">
      <c r="B17" t="s">
        <v>11</v>
      </c>
      <c r="C17" s="51" t="s">
        <v>88</v>
      </c>
      <c r="D17" s="39">
        <f>C9*D16*C10</f>
        <v>26</v>
      </c>
      <c r="E17" s="39">
        <f>C9*E16*C10</f>
        <v>18.2</v>
      </c>
      <c r="F17" s="39">
        <f>C9*F16*C10</f>
        <v>18.2</v>
      </c>
      <c r="G17" s="39">
        <f>C9*G16*C10</f>
        <v>26</v>
      </c>
      <c r="H17" s="234"/>
      <c r="I17" s="12"/>
    </row>
    <row r="18" spans="2:9" x14ac:dyDescent="0.25">
      <c r="B18" t="s">
        <v>84</v>
      </c>
      <c r="C18" s="115">
        <f>IF(AND(C7=1,C8&lt;=300),0.3,IF(AND(C7=1,C8&gt;300),0.3*(1+0.0006*(C8-300))^2,IF(C7=2,0.42,IF(AND(C7=3,C8&lt;=300),0.3,IF(AND(C7=3,C8&gt;300),0.3*((1+0.0006*(C8-300))^2)*((20000-C8)/(20000+C8)),IF(AND(OR(C7="1 przy granicy z 2",C7="2 przy granicy z 1"),C8&lt;=300),0.36,IF(AND(OR(C7="1 przy granicy z 2",C7="2 przy granicy z 1"),C8&gt;300),((0.3*(1+0.0006*(C8-300))^2)+0.42)/2,"-")))))))</f>
        <v>0.42</v>
      </c>
      <c r="D18" s="41"/>
      <c r="E18" s="48"/>
      <c r="F18" s="41"/>
      <c r="G18" s="41"/>
      <c r="H18" s="234"/>
      <c r="I18" s="12"/>
    </row>
    <row r="19" spans="2:9" x14ac:dyDescent="0.25">
      <c r="C19" s="41"/>
      <c r="D19" s="41"/>
      <c r="E19" s="32"/>
      <c r="F19" s="41"/>
      <c r="G19" s="41"/>
      <c r="H19" s="234"/>
      <c r="I19" s="12"/>
    </row>
    <row r="20" spans="2:9" x14ac:dyDescent="0.25">
      <c r="B20" s="10" t="s">
        <v>15</v>
      </c>
      <c r="C20" s="41"/>
      <c r="D20" s="41"/>
      <c r="E20" s="32"/>
      <c r="F20" s="41"/>
      <c r="G20" s="41"/>
      <c r="H20" s="234"/>
      <c r="I20" s="12"/>
    </row>
    <row r="21" spans="2:9" ht="15" customHeight="1" x14ac:dyDescent="0.25">
      <c r="B21" t="s">
        <v>89</v>
      </c>
      <c r="C21" s="51" t="s">
        <v>88</v>
      </c>
      <c r="D21" s="199" t="s">
        <v>61</v>
      </c>
      <c r="E21" s="199" t="s">
        <v>61</v>
      </c>
      <c r="F21" s="199" t="s">
        <v>61</v>
      </c>
      <c r="G21" s="199" t="s">
        <v>61</v>
      </c>
      <c r="H21" s="234"/>
      <c r="I21" s="64"/>
    </row>
    <row r="22" spans="2:9" x14ac:dyDescent="0.25">
      <c r="B22" t="s">
        <v>16</v>
      </c>
      <c r="C22" s="51" t="s">
        <v>88</v>
      </c>
      <c r="D22" s="41">
        <f>IF(D21=0,0.003,IF(D21="I",0.01,IF(D21="II",0.05,IF(D21="III",0.3,IF(D21="IV",1,"-")))))</f>
        <v>0.3</v>
      </c>
      <c r="E22" s="41">
        <f>IF(E21=0,0.003,IF(E21="I",0.01,IF(E21="II",0.05,IF(E21="III",0.3,IF(E21="IV",1,"-")))))</f>
        <v>0.3</v>
      </c>
      <c r="F22" s="41">
        <f>IF(F21=0,0.003,IF(F21="I",0.01,IF(F21="II",0.05,IF(F21="III",0.3,IF(F21="IV",1,"-")))))</f>
        <v>0.3</v>
      </c>
      <c r="G22" s="41">
        <f>IF(G21=0,0.003,IF(G21="I",0.01,IF(G21="II",0.05,IF(G21="III",0.3,IF(G21="IV",1,"-")))))</f>
        <v>0.3</v>
      </c>
      <c r="H22" s="95"/>
      <c r="I22" s="12"/>
    </row>
    <row r="23" spans="2:9" x14ac:dyDescent="0.25">
      <c r="B23" t="s">
        <v>17</v>
      </c>
      <c r="C23" s="51" t="s">
        <v>88</v>
      </c>
      <c r="D23" s="41">
        <f>IF(D21=0,1,IF(D21="I",1,IF(D21="II",2,IF(D21="III",5,IF(D21="IV",10,"-")))))</f>
        <v>5</v>
      </c>
      <c r="E23" s="41">
        <f>IF(E21=0,1,IF(E21="I",1,IF(E21="II",2,IF(E21="III",5,IF(E21="IV",10,"-")))))</f>
        <v>5</v>
      </c>
      <c r="F23" s="41">
        <f>IF(F21=0,1,IF(F21="I",1,IF(F21="II",2,IF(F21="III",5,IF(F21="IV",10,"-")))))</f>
        <v>5</v>
      </c>
      <c r="G23" s="41">
        <f>IF(G21=0,1,IF(G21="I",1,IF(G21="II",2,IF(G21="III",5,IF(G21="IV",10,"-")))))</f>
        <v>5</v>
      </c>
      <c r="H23" s="12"/>
      <c r="I23" s="12"/>
    </row>
    <row r="24" spans="2:9" x14ac:dyDescent="0.25">
      <c r="B24" t="s">
        <v>55</v>
      </c>
      <c r="C24" s="51" t="s">
        <v>88</v>
      </c>
      <c r="D24" s="41">
        <f>IF(D21=0,200,IF(D21="I",200,IF(D21="II",300,IF(D21="III",400,IF(D21="IV",500,"-")))))</f>
        <v>400</v>
      </c>
      <c r="E24" s="41">
        <f>IF(E21=0,200,IF(E21="I",200,IF(E21="II",300,IF(E21="III",400,IF(E21="IV",500,"-")))))</f>
        <v>400</v>
      </c>
      <c r="F24" s="41">
        <f>IF(F21=0,200,IF(F21="I",200,IF(F21="II",300,IF(F21="III",400,IF(F21="IV",500,"-")))))</f>
        <v>400</v>
      </c>
      <c r="G24" s="41">
        <f>IF(G21=0,200,IF(G21="I",200,IF(G21="II",300,IF(G21="III",400,IF(G21="IV",500,"-")))))</f>
        <v>400</v>
      </c>
      <c r="H24" s="12"/>
      <c r="I24" s="12"/>
    </row>
    <row r="25" spans="2:9" x14ac:dyDescent="0.25">
      <c r="B25" t="s">
        <v>18</v>
      </c>
      <c r="C25" s="51" t="s">
        <v>88</v>
      </c>
      <c r="D25" s="42">
        <f t="shared" ref="D25:G25" si="1">0.19*(D22/0.05)^0.07</f>
        <v>0.21538933156341294</v>
      </c>
      <c r="E25" s="42">
        <f t="shared" si="1"/>
        <v>0.21538933156341294</v>
      </c>
      <c r="F25" s="42">
        <f t="shared" si="1"/>
        <v>0.21538933156341294</v>
      </c>
      <c r="G25" s="42">
        <f t="shared" si="1"/>
        <v>0.21538933156341294</v>
      </c>
      <c r="H25" s="12"/>
      <c r="I25" s="12"/>
    </row>
    <row r="26" spans="2:9" x14ac:dyDescent="0.25">
      <c r="C26" s="41"/>
      <c r="D26" s="41"/>
      <c r="E26" s="32"/>
      <c r="F26" s="41"/>
      <c r="G26" s="41"/>
      <c r="H26" s="235"/>
      <c r="I26" s="12"/>
    </row>
    <row r="27" spans="2:9" x14ac:dyDescent="0.25">
      <c r="B27" s="10" t="s">
        <v>20</v>
      </c>
      <c r="C27" s="41"/>
      <c r="D27" s="49" t="s">
        <v>80</v>
      </c>
      <c r="E27" s="50" t="s">
        <v>81</v>
      </c>
      <c r="F27" s="50" t="s">
        <v>82</v>
      </c>
      <c r="G27" s="50" t="s">
        <v>83</v>
      </c>
      <c r="H27" s="235"/>
      <c r="I27" s="12"/>
    </row>
    <row r="28" spans="2:9" x14ac:dyDescent="0.25">
      <c r="B28" t="s">
        <v>21</v>
      </c>
      <c r="C28" s="199">
        <v>25</v>
      </c>
      <c r="D28" s="41">
        <f>C28</f>
        <v>25</v>
      </c>
      <c r="E28" s="41">
        <f>C28</f>
        <v>25</v>
      </c>
      <c r="F28" s="41">
        <f>C28</f>
        <v>25</v>
      </c>
      <c r="G28" s="41">
        <f>C28</f>
        <v>25</v>
      </c>
      <c r="H28" s="235"/>
      <c r="I28" s="12"/>
    </row>
    <row r="29" spans="2:9" x14ac:dyDescent="0.25">
      <c r="B29" t="s">
        <v>22</v>
      </c>
      <c r="C29" s="199">
        <v>10</v>
      </c>
      <c r="D29" s="41">
        <f>C29</f>
        <v>10</v>
      </c>
      <c r="E29" s="41">
        <f>C30</f>
        <v>28</v>
      </c>
      <c r="F29" s="41">
        <f>C29</f>
        <v>10</v>
      </c>
      <c r="G29" s="41">
        <f>C30</f>
        <v>28</v>
      </c>
      <c r="H29" s="235"/>
      <c r="I29" s="12"/>
    </row>
    <row r="30" spans="2:9" x14ac:dyDescent="0.25">
      <c r="B30" s="16" t="s">
        <v>23</v>
      </c>
      <c r="C30" s="199">
        <v>28</v>
      </c>
      <c r="D30" s="52">
        <f>C30</f>
        <v>28</v>
      </c>
      <c r="E30" s="52">
        <f>C29</f>
        <v>10</v>
      </c>
      <c r="F30" s="52">
        <f>C30</f>
        <v>28</v>
      </c>
      <c r="G30" s="52">
        <f>C29</f>
        <v>10</v>
      </c>
      <c r="H30" s="235"/>
      <c r="I30" s="12"/>
    </row>
    <row r="31" spans="2:9" x14ac:dyDescent="0.25">
      <c r="C31" s="22"/>
      <c r="D31" s="22"/>
      <c r="E31" s="4"/>
      <c r="H31" s="235"/>
      <c r="I31" s="94"/>
    </row>
    <row r="32" spans="2:9" x14ac:dyDescent="0.25">
      <c r="B32" s="13" t="s">
        <v>46</v>
      </c>
      <c r="C32" s="9"/>
      <c r="E32" s="4"/>
      <c r="H32" s="235"/>
      <c r="I32" s="94"/>
    </row>
    <row r="33" spans="2:9" x14ac:dyDescent="0.25">
      <c r="B33" s="13" t="s">
        <v>41</v>
      </c>
      <c r="C33" s="9"/>
      <c r="E33" s="4"/>
      <c r="H33" s="235"/>
      <c r="I33" s="94"/>
    </row>
    <row r="34" spans="2:9" x14ac:dyDescent="0.25">
      <c r="B34" t="s">
        <v>38</v>
      </c>
      <c r="C34" s="55" t="s">
        <v>88</v>
      </c>
      <c r="D34" s="177">
        <f>MIN(D29,2*D28)</f>
        <v>10</v>
      </c>
      <c r="E34" s="177">
        <f t="shared" ref="E34:G34" si="2">MIN(E29,2*E28)</f>
        <v>28</v>
      </c>
      <c r="F34" s="177">
        <f t="shared" si="2"/>
        <v>10</v>
      </c>
      <c r="G34" s="177">
        <f t="shared" si="2"/>
        <v>28</v>
      </c>
      <c r="H34" s="235"/>
      <c r="I34" s="94"/>
    </row>
    <row r="35" spans="2:9" x14ac:dyDescent="0.25">
      <c r="B35" s="73" t="s">
        <v>35</v>
      </c>
      <c r="C35" s="55" t="s">
        <v>88</v>
      </c>
      <c r="D35" s="126">
        <f>IF(D34&lt;D30,D34/5,IF(D34&gt;=5*D30,D30,IF(D34&gt;=D30,D34/5,0)))</f>
        <v>2</v>
      </c>
      <c r="E35" s="126">
        <f>IF(E34&lt;E30,E34/5,IF(E34&gt;=5*E30,E30,IF(E34&gt;=E30,E34/5,0)))</f>
        <v>5.6</v>
      </c>
      <c r="F35" s="126">
        <f>IF(F34&lt;F30,F34/5,IF(F34&gt;=5*F30,F30,IF(F34&gt;=F30,F34/5,0)))</f>
        <v>2</v>
      </c>
      <c r="G35" s="126">
        <f>IF(G34&lt;G30,G34/5,IF(G34&gt;=5*G30,G30,IF(G34&gt;=G30,G34/5,0)))</f>
        <v>5.6</v>
      </c>
      <c r="H35" s="94"/>
      <c r="I35" s="94"/>
    </row>
    <row r="36" spans="2:9" x14ac:dyDescent="0.25">
      <c r="B36" s="73" t="s">
        <v>36</v>
      </c>
      <c r="C36" s="55" t="s">
        <v>88</v>
      </c>
      <c r="D36" s="126">
        <f>IF(D34&lt;D30,4*D34/5,IF(D34&gt;=5*D30,0,IF(D34&gt;=D30,D30-D34/5,0)))</f>
        <v>8</v>
      </c>
      <c r="E36" s="126">
        <f>IF(E34&lt;E30,4*E34/5,IF(E34&gt;=5*E30,0,IF(E34&gt;=E30,E30-E34/5,0)))</f>
        <v>4.4000000000000004</v>
      </c>
      <c r="F36" s="126">
        <f>IF(F34&lt;F30,4*F34/5,IF(F34&gt;=5*F30,0,IF(F34&gt;=F30,F30-F34/5,0)))</f>
        <v>8</v>
      </c>
      <c r="G36" s="126">
        <f>IF(G34&lt;G30,4*G34/5,IF(G34&gt;=5*G30,0,IF(G34&gt;=G30,G30-G34/5,0)))</f>
        <v>4.4000000000000004</v>
      </c>
      <c r="H36" s="94"/>
      <c r="I36" s="94"/>
    </row>
    <row r="37" spans="2:9" x14ac:dyDescent="0.25">
      <c r="B37" s="73" t="s">
        <v>37</v>
      </c>
      <c r="C37" s="55" t="s">
        <v>88</v>
      </c>
      <c r="D37" s="126">
        <f>IF(D34&lt;D30,D30-D34,0)</f>
        <v>18</v>
      </c>
      <c r="E37" s="126">
        <f>IF(E34&lt;E30,E30-E34,0)</f>
        <v>0</v>
      </c>
      <c r="F37" s="126">
        <f>IF(F34&lt;F30,F30-F34,0)</f>
        <v>18</v>
      </c>
      <c r="G37" s="126">
        <f>IF(G34&lt;G30,G30-G34,0)</f>
        <v>0</v>
      </c>
      <c r="H37" s="94"/>
      <c r="I37" s="94"/>
    </row>
    <row r="38" spans="2:9" x14ac:dyDescent="0.25">
      <c r="B38" s="16"/>
      <c r="C38" s="55"/>
      <c r="D38" s="17"/>
      <c r="E38" s="4"/>
      <c r="H38" s="94"/>
      <c r="I38" s="94"/>
    </row>
    <row r="39" spans="2:9" x14ac:dyDescent="0.25">
      <c r="B39" s="233" t="s">
        <v>54</v>
      </c>
      <c r="C39" s="233"/>
      <c r="E39" s="4"/>
      <c r="H39" s="94"/>
      <c r="I39" s="94"/>
    </row>
    <row r="40" spans="2:9" x14ac:dyDescent="0.25">
      <c r="B40" s="109" t="s">
        <v>245</v>
      </c>
      <c r="C40" s="55" t="s">
        <v>88</v>
      </c>
      <c r="D40" s="129" t="str">
        <f>IF(D28&lt;=D29,"h ≤ b",IF(AND(D28&gt;D29,D28&lt;=2*D29),"b &lt; h ≤ 2b",IF(D28&gt;2*D29,"h &gt; 2b","")))</f>
        <v>h &gt; 2b</v>
      </c>
      <c r="E40" s="129" t="str">
        <f>IF(E28&lt;=E29,"h ≤ b",IF(AND(E28&gt;E29,E28&lt;=2*E29),"b &lt; h ≤ 2b",IF(E28&gt;2*E29,"h &gt; 2b","")))</f>
        <v>h ≤ b</v>
      </c>
      <c r="F40" s="129" t="str">
        <f>IF(F28&lt;=F29,"h ≤ b",IF(AND(F28&gt;F29,F28&lt;=2*F29),"b &lt; h ≤ 2b",IF(F28&gt;2*F29,"h &gt; 2b","")))</f>
        <v>h &gt; 2b</v>
      </c>
      <c r="G40" s="129" t="str">
        <f>IF(G28&lt;=G29,"h ≤ b",IF(AND(G28&gt;G29,G28&lt;=2*G29),"b &lt; h ≤ 2b",IF(G28&gt;2*G29,"h &gt; 2b","")))</f>
        <v>h ≤ b</v>
      </c>
      <c r="H40" s="94"/>
      <c r="I40" s="94"/>
    </row>
    <row r="41" spans="2:9" x14ac:dyDescent="0.25">
      <c r="B41" s="109" t="s">
        <v>213</v>
      </c>
      <c r="C41" s="55" t="s">
        <v>88</v>
      </c>
      <c r="D41" s="208" t="s">
        <v>249</v>
      </c>
      <c r="E41" s="209" t="s">
        <v>249</v>
      </c>
      <c r="F41" s="134" t="str">
        <f>D41</f>
        <v>ze = h, wysokość zalecana</v>
      </c>
      <c r="G41" s="134" t="str">
        <f>E41</f>
        <v>ze = h, wysokość zalecana</v>
      </c>
      <c r="H41" s="94"/>
      <c r="I41" s="94"/>
    </row>
    <row r="42" spans="2:9" x14ac:dyDescent="0.25">
      <c r="B42" t="s">
        <v>247</v>
      </c>
      <c r="C42" s="55" t="s">
        <v>88</v>
      </c>
      <c r="D42" s="133">
        <f>IF(D41="ze = h, wysokość zalecana",D28,IF(D41="ze = h - b",D28-D29,IF(D41="ze = b",D29,IF(D41="ze = ?, wpisz tu wysokość",0,D41))))</f>
        <v>25</v>
      </c>
      <c r="E42" s="133">
        <f>IF(E41="ze = h, wysokość zalecana",E28,IF(E41="ze = h - b",E28-E29,IF(E41="ze = b",E29,IF(E41="ze = ?, wpisz tu wysokość",0,E41))))</f>
        <v>25</v>
      </c>
      <c r="F42" s="133">
        <f>IF(F41="ze = h, wysokość zalecana",F28,IF(F41="ze = h - b",F28-F29,IF(F41="ze = b",F29,IF(F41="ze = ?, wpisz tu wysokość",0,F41))))</f>
        <v>25</v>
      </c>
      <c r="G42" s="133">
        <f>IF(G41="ze = h, wysokość zalecana",G28,IF(G41="ze = h - b",G28-G29,IF(G41="ze = b",G29,IF(G41="ze = ?, wpisz tu wysokość",0,G41))))</f>
        <v>25</v>
      </c>
      <c r="H42" s="94"/>
      <c r="I42" s="94"/>
    </row>
    <row r="43" spans="2:9" x14ac:dyDescent="0.25">
      <c r="B43" s="94" t="s">
        <v>25</v>
      </c>
      <c r="C43" s="55" t="s">
        <v>88</v>
      </c>
      <c r="D43" s="205">
        <v>1</v>
      </c>
      <c r="E43" s="206">
        <f>D43</f>
        <v>1</v>
      </c>
      <c r="F43" s="206">
        <f>D43</f>
        <v>1</v>
      </c>
      <c r="G43" s="206">
        <f>D43</f>
        <v>1</v>
      </c>
      <c r="H43" s="94"/>
      <c r="I43" s="94"/>
    </row>
    <row r="44" spans="2:9" x14ac:dyDescent="0.25">
      <c r="B44" s="94" t="s">
        <v>214</v>
      </c>
      <c r="C44" s="55" t="s">
        <v>88</v>
      </c>
      <c r="D44" s="204">
        <v>0</v>
      </c>
      <c r="E44" s="204">
        <v>0</v>
      </c>
      <c r="F44" s="204">
        <v>0</v>
      </c>
      <c r="G44" s="204">
        <v>0</v>
      </c>
    </row>
    <row r="45" spans="2:9" x14ac:dyDescent="0.25">
      <c r="B45" t="s">
        <v>182</v>
      </c>
      <c r="C45" s="55" t="s">
        <v>88</v>
      </c>
      <c r="D45" s="93">
        <f>IF(D42*D43-D44&gt;=D23,D42*D43-D44,D23)</f>
        <v>25</v>
      </c>
      <c r="E45" s="93">
        <f>IF(E42*E43-E44&gt;=E23,E42*E43-E44,E23)</f>
        <v>25</v>
      </c>
      <c r="F45" s="93">
        <f>IF(F42*F43-F44&gt;=F23,F42*F43-F44,F23)</f>
        <v>25</v>
      </c>
      <c r="G45" s="93">
        <f>IF(G42*G43-G44&gt;=G23,G42*G43-G44,G23)</f>
        <v>25</v>
      </c>
    </row>
    <row r="46" spans="2:9" x14ac:dyDescent="0.25">
      <c r="B46" t="s">
        <v>26</v>
      </c>
      <c r="C46" s="55" t="s">
        <v>88</v>
      </c>
      <c r="D46" s="11">
        <f>IF(D45&lt;=200,D25*LN(D45/D22),D25*LN(200/D22))</f>
        <v>0.9526344098482824</v>
      </c>
      <c r="E46" s="11">
        <f>IF(E45&lt;=200,E25*LN(E45/E22),E25*LN(200/E22))</f>
        <v>0.9526344098482824</v>
      </c>
      <c r="F46" s="11">
        <f>IF(F45&lt;=200,F25*LN(F45/F22),F25*LN(200/F22))</f>
        <v>0.9526344098482824</v>
      </c>
      <c r="G46" s="11">
        <f>IF(G45&lt;=200,G25*LN(G45/G22),G25*LN(200/G22))</f>
        <v>0.9526344098482824</v>
      </c>
    </row>
    <row r="47" spans="2:9" x14ac:dyDescent="0.25">
      <c r="B47" t="s">
        <v>27</v>
      </c>
      <c r="C47" s="55" t="s">
        <v>88</v>
      </c>
      <c r="D47" s="210">
        <v>1</v>
      </c>
      <c r="E47" s="210">
        <v>1</v>
      </c>
      <c r="F47" s="210">
        <v>1</v>
      </c>
      <c r="G47" s="210">
        <v>1</v>
      </c>
    </row>
    <row r="48" spans="2:9" x14ac:dyDescent="0.25">
      <c r="B48" t="s">
        <v>246</v>
      </c>
      <c r="C48" s="55" t="s">
        <v>88</v>
      </c>
      <c r="D48" s="21">
        <f>D46*D47*D17</f>
        <v>24.768494656055342</v>
      </c>
      <c r="E48" s="21">
        <f>E46*E47*E17</f>
        <v>17.337946259238738</v>
      </c>
      <c r="F48" s="21">
        <f>F46*F47*F17</f>
        <v>17.337946259238738</v>
      </c>
      <c r="G48" s="21">
        <f>G46*G47*G17</f>
        <v>24.768494656055342</v>
      </c>
    </row>
    <row r="49" spans="2:7" x14ac:dyDescent="0.25">
      <c r="B49" t="s">
        <v>24</v>
      </c>
      <c r="C49" s="55" t="s">
        <v>88</v>
      </c>
      <c r="D49" s="91">
        <v>1</v>
      </c>
      <c r="E49" s="91">
        <v>1</v>
      </c>
      <c r="F49" s="91">
        <v>1</v>
      </c>
      <c r="G49" s="91">
        <v>1</v>
      </c>
    </row>
    <row r="50" spans="2:7" x14ac:dyDescent="0.25">
      <c r="B50" t="s">
        <v>28</v>
      </c>
      <c r="C50" s="55" t="s">
        <v>88</v>
      </c>
      <c r="D50" s="11">
        <f>IF(D45&lt;=200,D49/(D47*LN(D45/D22)),D49/(D47*LN(200/D22)))</f>
        <v>0.22609862643709888</v>
      </c>
      <c r="E50" s="11">
        <f>IF(E45&lt;=200,E49/(E47*LN(E45/E22)),E49/(E47*LN(200/E22)))</f>
        <v>0.22609862643709888</v>
      </c>
      <c r="F50" s="11">
        <f>IF(F45&lt;=200,F49/(F47*LN(F45/F22)),F49/(F47*LN(200/F22)))</f>
        <v>0.22609862643709888</v>
      </c>
      <c r="G50" s="11">
        <f>IF(G45&lt;=200,G49/(G47*LN(G45/G22)),G49/(G47*LN(200/G22)))</f>
        <v>0.22609862643709888</v>
      </c>
    </row>
    <row r="51" spans="2:7" x14ac:dyDescent="0.25">
      <c r="B51" t="s">
        <v>85</v>
      </c>
      <c r="C51" s="55" t="s">
        <v>88</v>
      </c>
      <c r="D51" s="125">
        <f t="shared" ref="D51:G51" si="3">((1+7*D50)*0.5*1.25*D48^2)/1000</f>
        <v>0.99026536121662001</v>
      </c>
      <c r="E51" s="125">
        <f t="shared" si="3"/>
        <v>0.4852300269961437</v>
      </c>
      <c r="F51" s="125">
        <f t="shared" si="3"/>
        <v>0.4852300269961437</v>
      </c>
      <c r="G51" s="125">
        <f t="shared" si="3"/>
        <v>0.99026536121662001</v>
      </c>
    </row>
    <row r="52" spans="2:7" x14ac:dyDescent="0.25">
      <c r="C52" s="6"/>
      <c r="E52" s="4"/>
    </row>
    <row r="53" spans="2:7" x14ac:dyDescent="0.25">
      <c r="B53" s="228" t="s">
        <v>56</v>
      </c>
      <c r="C53" s="228"/>
      <c r="E53" s="4"/>
    </row>
    <row r="54" spans="2:7" x14ac:dyDescent="0.25">
      <c r="B54" t="s">
        <v>182</v>
      </c>
      <c r="C54" s="60" t="s">
        <v>88</v>
      </c>
      <c r="D54" s="57">
        <f>IF(D42*D43-D44&lt;D23,D23,IF(D42*D43-D44&gt;D24,D24,D42*D43-D44))</f>
        <v>25</v>
      </c>
      <c r="E54" s="57">
        <f>IF(E42*E43-E44&lt;E23,E23,IF(E42*E43-E44&gt;E24,E24,E42*E43-E44))</f>
        <v>25</v>
      </c>
      <c r="F54" s="57">
        <f>IF(F42*F43-F44&lt;F23,F23,IF(F42*F43-F44&gt;F24,F24,F42*F43-F44))</f>
        <v>25</v>
      </c>
      <c r="G54" s="57">
        <f>IF(G42*G43-G44&lt;G23,G23,IF(G42*G43-G44&gt;G24,G24,G42*G43-G44))</f>
        <v>25</v>
      </c>
    </row>
    <row r="55" spans="2:7" x14ac:dyDescent="0.25">
      <c r="B55" t="s">
        <v>26</v>
      </c>
      <c r="C55" s="60" t="s">
        <v>88</v>
      </c>
      <c r="D55" s="11">
        <f>IF(D21=0,1.3*(D54/10)^0.11,IF(D21="I",1.2*(D54/10)^0.13,IF(D21="II",1*(D54/10)^0.17,IF(D21="III",0.8*(D54/10)^0.19,IF(D21="IV",0.6*(D54/10)^0.24,"-")))))</f>
        <v>0.95213512878920248</v>
      </c>
      <c r="E55" s="11">
        <f>IF(E21=0,1.3*(E54/10)^0.11,IF(E21="I",1.2*(E54/10)^0.13,IF(E21="II",1*(E54/10)^0.17,IF(E21="III",0.8*(E54/10)^0.19,IF(E21="IV",0.6*(E54/10)^0.24,"-")))))</f>
        <v>0.95213512878920248</v>
      </c>
      <c r="F55" s="11">
        <f>IF(F21=0,1.3*(F54/10)^0.11,IF(F21="I",1.2*(F54/10)^0.13,IF(F21="II",1*(F54/10)^0.17,IF(F21="III",0.8*(F54/10)^0.19,IF(F21="IV",0.6*(F54/10)^0.24,"-")))))</f>
        <v>0.95213512878920248</v>
      </c>
      <c r="G55" s="11">
        <f>IF(G21=0,1.3*(G54/10)^0.11,IF(G21="I",1.2*(G54/10)^0.13,IF(G21="II",1*(G54/10)^0.17,IF(G21="III",0.8*(G54/10)^0.19,IF(G21="IV",0.6*(G54/10)^0.24,"-")))))</f>
        <v>0.95213512878920248</v>
      </c>
    </row>
    <row r="56" spans="2:7" x14ac:dyDescent="0.25">
      <c r="B56" t="s">
        <v>27</v>
      </c>
      <c r="C56" s="60" t="s">
        <v>88</v>
      </c>
      <c r="D56" s="2">
        <f t="shared" ref="D56:G56" si="4">D47</f>
        <v>1</v>
      </c>
      <c r="E56" s="2">
        <f t="shared" si="4"/>
        <v>1</v>
      </c>
      <c r="F56" s="2">
        <f t="shared" si="4"/>
        <v>1</v>
      </c>
      <c r="G56" s="2">
        <f t="shared" si="4"/>
        <v>1</v>
      </c>
    </row>
    <row r="57" spans="2:7" x14ac:dyDescent="0.25">
      <c r="B57" t="s">
        <v>246</v>
      </c>
      <c r="C57" s="60" t="s">
        <v>88</v>
      </c>
      <c r="D57" s="21">
        <f>D55*D56*D17</f>
        <v>24.755513348519266</v>
      </c>
      <c r="E57" s="21">
        <f>E55*E56*E17</f>
        <v>17.328859343963483</v>
      </c>
      <c r="F57" s="21">
        <f>F55*F56*F17</f>
        <v>17.328859343963483</v>
      </c>
      <c r="G57" s="21">
        <f>G55*G56*G17</f>
        <v>24.755513348519266</v>
      </c>
    </row>
    <row r="58" spans="2:7" x14ac:dyDescent="0.25">
      <c r="B58" t="s">
        <v>24</v>
      </c>
      <c r="C58" s="60" t="s">
        <v>88</v>
      </c>
      <c r="D58" s="2">
        <f t="shared" ref="D58:G58" si="5">D49</f>
        <v>1</v>
      </c>
      <c r="E58" s="2">
        <f t="shared" si="5"/>
        <v>1</v>
      </c>
      <c r="F58" s="2">
        <f t="shared" si="5"/>
        <v>1</v>
      </c>
      <c r="G58" s="2">
        <f t="shared" si="5"/>
        <v>1</v>
      </c>
    </row>
    <row r="59" spans="2:7" x14ac:dyDescent="0.25">
      <c r="B59" t="s">
        <v>28</v>
      </c>
      <c r="C59" s="60" t="s">
        <v>88</v>
      </c>
      <c r="D59" s="11">
        <f t="shared" ref="D59:G59" si="6">D50</f>
        <v>0.22609862643709888</v>
      </c>
      <c r="E59" s="11">
        <f t="shared" si="6"/>
        <v>0.22609862643709888</v>
      </c>
      <c r="F59" s="11">
        <f t="shared" si="6"/>
        <v>0.22609862643709888</v>
      </c>
      <c r="G59" s="11">
        <f t="shared" si="6"/>
        <v>0.22609862643709888</v>
      </c>
    </row>
    <row r="60" spans="2:7" x14ac:dyDescent="0.25">
      <c r="B60" t="s">
        <v>85</v>
      </c>
      <c r="C60" s="60" t="s">
        <v>88</v>
      </c>
      <c r="D60" s="125">
        <f t="shared" ref="D60:G60" si="7">((1+7*D59)*0.5*1.25*D57^2)/1000</f>
        <v>0.98922762592412639</v>
      </c>
      <c r="E60" s="125">
        <f t="shared" si="7"/>
        <v>0.48472153670282181</v>
      </c>
      <c r="F60" s="125">
        <f t="shared" si="7"/>
        <v>0.48472153670282181</v>
      </c>
      <c r="G60" s="125">
        <f t="shared" si="7"/>
        <v>0.98922762592412639</v>
      </c>
    </row>
    <row r="61" spans="2:7" x14ac:dyDescent="0.25">
      <c r="C61" s="6"/>
      <c r="E61" s="4"/>
    </row>
    <row r="62" spans="2:7" x14ac:dyDescent="0.25">
      <c r="B62" s="228" t="s">
        <v>57</v>
      </c>
      <c r="C62" s="228"/>
      <c r="E62" s="4"/>
    </row>
    <row r="63" spans="2:7" x14ac:dyDescent="0.25">
      <c r="B63" t="s">
        <v>58</v>
      </c>
      <c r="C63" s="61" t="s">
        <v>88</v>
      </c>
      <c r="D63" s="6">
        <f>IF(D21=0,3*(D45/10)^0.17,IF(D21="I",2.8*(D45/10)^0.19,IF(D21="II",2.3*(D45/10)^0.24,IF(D21="III",1.9*(D45/10)^0.26,IF(D21="IV",1.5*(D45/10)^0.29,"-")))))</f>
        <v>2.4111154348387354</v>
      </c>
      <c r="E63" s="6">
        <f>IF(E21=0,3*(E45/10)^0.17,IF(E21="I",2.8*(E45/10)^0.19,IF(E21="II",2.3*(E45/10)^0.24,IF(E21="III",1.9*(E45/10)^0.26,IF(E21="IV",1.5*(E45/10)^0.29,"-")))))</f>
        <v>2.4111154348387354</v>
      </c>
      <c r="F63" s="6">
        <f>IF(F21=0,3*(F45/10)^0.17,IF(F21="I",2.8*(F45/10)^0.19,IF(F21="II",2.3*(F45/10)^0.24,IF(F21="III",1.9*(F45/10)^0.26,IF(F21="IV",1.5*(F45/10)^0.29,"-")))))</f>
        <v>2.4111154348387354</v>
      </c>
      <c r="G63" s="6">
        <f>IF(G21=0,3*(G45/10)^0.17,IF(G21="I",2.8*(G45/10)^0.19,IF(G21="II",2.3*(G45/10)^0.24,IF(G21="III",1.9*(G45/10)^0.26,IF(G21="IV",1.5*(G45/10)^0.29,"-")))))</f>
        <v>2.4111154348387354</v>
      </c>
    </row>
    <row r="64" spans="2:7" x14ac:dyDescent="0.25">
      <c r="B64" t="s">
        <v>59</v>
      </c>
      <c r="C64" s="61" t="s">
        <v>88</v>
      </c>
      <c r="D64" s="6">
        <f>(0.5*1.25*D17^2)/1000</f>
        <v>0.42249999999999999</v>
      </c>
      <c r="E64" s="6">
        <f>(0.5*1.25*E17^2)/1000</f>
        <v>0.20702499999999999</v>
      </c>
      <c r="F64" s="6">
        <f>(0.5*1.25*F17^2)/1000</f>
        <v>0.20702499999999999</v>
      </c>
      <c r="G64" s="6">
        <f>(0.5*1.25*G17^2)/1000</f>
        <v>0.42249999999999999</v>
      </c>
    </row>
    <row r="65" spans="2:7" x14ac:dyDescent="0.25">
      <c r="B65" t="s">
        <v>85</v>
      </c>
      <c r="C65" s="61" t="s">
        <v>88</v>
      </c>
      <c r="D65" s="125">
        <f t="shared" ref="D65:G65" si="8">D63*D64</f>
        <v>1.0186962712193657</v>
      </c>
      <c r="E65" s="125">
        <f t="shared" si="8"/>
        <v>0.49916117289748918</v>
      </c>
      <c r="F65" s="125">
        <f t="shared" si="8"/>
        <v>0.49916117289748918</v>
      </c>
      <c r="G65" s="125">
        <f t="shared" si="8"/>
        <v>1.0186962712193657</v>
      </c>
    </row>
    <row r="66" spans="2:7" x14ac:dyDescent="0.25">
      <c r="C66" s="6"/>
      <c r="E66" s="4"/>
    </row>
    <row r="67" spans="2:7" x14ac:dyDescent="0.25">
      <c r="B67" s="13" t="s">
        <v>53</v>
      </c>
      <c r="C67" s="6"/>
      <c r="E67" s="4"/>
    </row>
    <row r="68" spans="2:7" x14ac:dyDescent="0.25">
      <c r="B68" t="s">
        <v>52</v>
      </c>
      <c r="C68" s="211" t="s">
        <v>64</v>
      </c>
      <c r="E68" s="4"/>
    </row>
    <row r="69" spans="2:7" x14ac:dyDescent="0.25">
      <c r="B69" t="s">
        <v>85</v>
      </c>
      <c r="C69" s="62" t="s">
        <v>88</v>
      </c>
      <c r="D69" s="125">
        <f>IF(C68="EN",D51,IF(C68="NA, co ≥ 1",D60,IF(C68="NA, co = 1",D65,"-")))</f>
        <v>1.0186962712193657</v>
      </c>
      <c r="E69" s="125">
        <f>IF(C68="EN",E51,IF(C68="NA, co ≥ 1",E60,IF(C68="NA, co = 1",E65,"-")))</f>
        <v>0.49916117289748918</v>
      </c>
      <c r="F69" s="125">
        <f>IF(C68="EN",F51,IF(C68="NA, co ≥ 1",F60,IF(C68="NA, co = 1",F65,"-")))</f>
        <v>0.49916117289748918</v>
      </c>
      <c r="G69" s="125">
        <f>IF(C68="EN",G51,IF(C68="NA, co ≥ 1",G60,IF(C68="NA, co = 1",G65,"-")))</f>
        <v>1.0186962712193657</v>
      </c>
    </row>
    <row r="70" spans="2:7" x14ac:dyDescent="0.25">
      <c r="C70" s="62"/>
      <c r="D70" s="22"/>
      <c r="E70" s="4"/>
    </row>
    <row r="71" spans="2:7" x14ac:dyDescent="0.25">
      <c r="B71" s="13" t="s">
        <v>29</v>
      </c>
      <c r="C71" s="62"/>
      <c r="D71" s="22"/>
      <c r="E71" s="7"/>
    </row>
    <row r="72" spans="2:7" x14ac:dyDescent="0.25">
      <c r="B72" s="20" t="s">
        <v>39</v>
      </c>
      <c r="C72" s="62" t="s">
        <v>88</v>
      </c>
      <c r="D72" s="57">
        <f>D28/D30</f>
        <v>0.8928571428571429</v>
      </c>
      <c r="E72" s="57">
        <f>E28/E30</f>
        <v>2.5</v>
      </c>
      <c r="F72" s="57">
        <f>F28/F30</f>
        <v>0.8928571428571429</v>
      </c>
      <c r="G72" s="57">
        <f>G28/G30</f>
        <v>2.5</v>
      </c>
    </row>
    <row r="73" spans="2:7" x14ac:dyDescent="0.25">
      <c r="B73" s="20" t="s">
        <v>309</v>
      </c>
      <c r="C73" s="62"/>
      <c r="D73" s="57"/>
      <c r="E73" s="57"/>
      <c r="F73" s="57"/>
      <c r="G73" s="57"/>
    </row>
    <row r="74" spans="2:7" x14ac:dyDescent="0.25">
      <c r="B74" s="176" t="s">
        <v>30</v>
      </c>
      <c r="C74" s="62" t="s">
        <v>88</v>
      </c>
      <c r="D74" s="212" t="s">
        <v>310</v>
      </c>
      <c r="E74" s="212" t="s">
        <v>310</v>
      </c>
      <c r="F74" s="212" t="s">
        <v>310</v>
      </c>
      <c r="G74" s="212" t="s">
        <v>310</v>
      </c>
    </row>
    <row r="75" spans="2:7" x14ac:dyDescent="0.25">
      <c r="B75" s="176" t="s">
        <v>31</v>
      </c>
      <c r="C75" s="62" t="s">
        <v>88</v>
      </c>
      <c r="D75" s="212" t="s">
        <v>310</v>
      </c>
      <c r="E75" s="212" t="s">
        <v>310</v>
      </c>
      <c r="F75" s="212" t="s">
        <v>310</v>
      </c>
      <c r="G75" s="212" t="s">
        <v>310</v>
      </c>
    </row>
    <row r="76" spans="2:7" x14ac:dyDescent="0.25">
      <c r="B76" s="176" t="s">
        <v>32</v>
      </c>
      <c r="C76" s="62" t="s">
        <v>88</v>
      </c>
      <c r="D76" s="212" t="s">
        <v>310</v>
      </c>
      <c r="E76" s="212" t="s">
        <v>310</v>
      </c>
      <c r="F76" s="212" t="s">
        <v>310</v>
      </c>
      <c r="G76" s="212" t="s">
        <v>310</v>
      </c>
    </row>
    <row r="77" spans="2:7" x14ac:dyDescent="0.25">
      <c r="B77" s="176" t="s">
        <v>33</v>
      </c>
      <c r="C77" s="62" t="s">
        <v>88</v>
      </c>
      <c r="D77" s="212" t="s">
        <v>310</v>
      </c>
      <c r="E77" s="212" t="s">
        <v>310</v>
      </c>
      <c r="F77" s="212" t="s">
        <v>310</v>
      </c>
      <c r="G77" s="212" t="s">
        <v>310</v>
      </c>
    </row>
    <row r="78" spans="2:7" x14ac:dyDescent="0.25">
      <c r="B78" t="s">
        <v>308</v>
      </c>
      <c r="C78" s="62"/>
      <c r="E78" s="7"/>
    </row>
    <row r="79" spans="2:7" x14ac:dyDescent="0.25">
      <c r="B79" s="8" t="s">
        <v>30</v>
      </c>
      <c r="C79" s="62" t="s">
        <v>88</v>
      </c>
      <c r="D79">
        <f>IF(D74="wartość podstawowa",-1.4,IF(D74="wartość maks przy zwężce",-1.6,IF(D74="inna, wpisz tu wartość",0,D74)))</f>
        <v>-1.4</v>
      </c>
      <c r="E79">
        <f>IF(E74="wartość podstawowa",-1.4,IF(E74="wartość maks przy zwężce",-1.6,IF(E74="inna, wpisz tu wartość",0,E74)))</f>
        <v>-1.4</v>
      </c>
      <c r="F79">
        <f>IF(F74="wartość podstawowa",-1.4,IF(F74="wartość maks przy zwężce",-1.6,IF(F74="inna, wpisz tu wartość",0,F74)))</f>
        <v>-1.4</v>
      </c>
      <c r="G79">
        <f>IF(G74="wartość podstawowa",-1.4,IF(G74="wartość maks przy zwężce",-1.6,IF(G74="inna, wpisz tu wartość",0,G74)))</f>
        <v>-1.4</v>
      </c>
    </row>
    <row r="80" spans="2:7" x14ac:dyDescent="0.25">
      <c r="B80" s="8" t="s">
        <v>31</v>
      </c>
      <c r="C80" s="62" t="s">
        <v>88</v>
      </c>
      <c r="D80">
        <f>IF(D75="wartość podstawowa",-1.1,IF(D75="wartość maks przy zwężce",-1.1,IF(D75="inna, wpisz tu wartość",0,D75)))</f>
        <v>-1.1000000000000001</v>
      </c>
      <c r="E80">
        <f>IF(E75="wartość podstawowa",-1.1,IF(E75="wartość maks przy zwężce",-1.1,IF(E75="inna, wpisz tu wartość",0,E75)))</f>
        <v>-1.1000000000000001</v>
      </c>
      <c r="F80">
        <f>IF(F75="wartość podstawowa",-1.1,IF(F75="wartość maks przy zwężce",-1.1,IF(F75="inna, wpisz tu wartość",0,F75)))</f>
        <v>-1.1000000000000001</v>
      </c>
      <c r="G80">
        <f>IF(G75="wartość podstawowa",-1.1,IF(G75="wartość maks przy zwężce",-1.1,IF(G75="inna, wpisz tu wartość",0,G75)))</f>
        <v>-1.1000000000000001</v>
      </c>
    </row>
    <row r="81" spans="2:7" x14ac:dyDescent="0.25">
      <c r="B81" s="8" t="s">
        <v>32</v>
      </c>
      <c r="C81" s="62" t="s">
        <v>88</v>
      </c>
      <c r="D81">
        <f>IF(D76="wartość podstawowa",-0.5,IF(D76="wartość maks przy zwężce",-0.9,IF(D76="inna, wpisz tu wartość",0,D76)))</f>
        <v>-0.5</v>
      </c>
      <c r="E81">
        <f>IF(E76="wartość podstawowa",-0.5,IF(E76="wartość maks przy zwężce",-0.9,IF(E76="inna, wpisz tu wartość",0,E76)))</f>
        <v>-0.5</v>
      </c>
      <c r="F81">
        <f>IF(F76="wartość podstawowa",-0.5,IF(F76="wartość maks przy zwężce",-0.9,IF(F76="inna, wpisz tu wartość",0,F76)))</f>
        <v>-0.5</v>
      </c>
      <c r="G81">
        <f>IF(G76="wartość podstawowa",-0.5,IF(G76="wartość maks przy zwężce",-0.9,IF(G76="inna, wpisz tu wartość",0,G76)))</f>
        <v>-0.5</v>
      </c>
    </row>
    <row r="82" spans="2:7" x14ac:dyDescent="0.25">
      <c r="B82" s="8" t="s">
        <v>33</v>
      </c>
      <c r="C82" s="62" t="s">
        <v>88</v>
      </c>
      <c r="D82" s="21">
        <f>IF(D77="wartość podstawowa",IF(D72&lt;=0.25,-0.3,IF(AND(D72&gt;0.25,D72&lt;1),-0.23333333333-0.26666666667*D72,IF(AND(D72&gt;=1,D72&lt;=5),-0.45-0.05*D72,-0.7))),IF(D77="inna, wpisz tu wartość",0,D77))</f>
        <v>-0.47142857142821426</v>
      </c>
      <c r="E82" s="21">
        <f>IF(E77="wartość podstawowa",IF(E72&lt;=0.25,-0.3,IF(AND(E72&gt;0.25,E72&lt;1),-0.23333333333-0.26666666667*E72,IF(AND(E72&gt;=1,E72&lt;=5),-0.45-0.05*E72,-0.7))),IF(E77="inna, wpisz tu wartość",0,E77))</f>
        <v>-0.57499999999999996</v>
      </c>
      <c r="F82" s="21">
        <f>IF(F77="wartość podstawowa",IF(F72&lt;=0.25,-0.3,IF(AND(F72&gt;0.25,F72&lt;1),-0.23333333333-0.26666666667*F72,IF(AND(F72&gt;=1,F72&lt;=5),-0.45-0.05*F72,-0.7))),IF(F77="inna, wpisz tu wartość",0,F77))</f>
        <v>-0.47142857142821426</v>
      </c>
      <c r="G82" s="21">
        <f>IF(G77="wartość podstawowa",IF(G72&lt;=0.25,-0.3,IF(AND(G72&gt;0.25,G72&lt;1),-0.23333333333-0.26666666667*G72,IF(AND(G72&gt;=1,G72&lt;=5),-0.45-0.05*G72,-0.7))),IF(G77="inna, wpisz tu wartość",0,G77))</f>
        <v>-0.57499999999999996</v>
      </c>
    </row>
    <row r="83" spans="2:7" x14ac:dyDescent="0.25">
      <c r="B83" s="8"/>
      <c r="C83" s="62"/>
      <c r="D83" s="21"/>
      <c r="E83" s="5"/>
    </row>
    <row r="84" spans="2:7" x14ac:dyDescent="0.25">
      <c r="B84" s="23" t="s">
        <v>49</v>
      </c>
      <c r="C84" s="62"/>
      <c r="E84" s="5"/>
    </row>
    <row r="85" spans="2:7" x14ac:dyDescent="0.25">
      <c r="B85" t="s">
        <v>87</v>
      </c>
      <c r="C85" s="62"/>
      <c r="E85" s="5"/>
    </row>
    <row r="86" spans="2:7" x14ac:dyDescent="0.25">
      <c r="B86" s="8" t="s">
        <v>30</v>
      </c>
      <c r="C86" s="62" t="s">
        <v>88</v>
      </c>
      <c r="D86" s="6">
        <f t="shared" ref="D86:G86" si="9">D69*D79</f>
        <v>-1.4261747797071118</v>
      </c>
      <c r="E86" s="6">
        <f t="shared" si="9"/>
        <v>-0.69882564205648479</v>
      </c>
      <c r="F86" s="6">
        <f t="shared" si="9"/>
        <v>-0.69882564205648479</v>
      </c>
      <c r="G86" s="6">
        <f t="shared" si="9"/>
        <v>-1.4261747797071118</v>
      </c>
    </row>
    <row r="87" spans="2:7" x14ac:dyDescent="0.25">
      <c r="B87" s="8" t="s">
        <v>31</v>
      </c>
      <c r="C87" s="62" t="s">
        <v>88</v>
      </c>
      <c r="D87" s="6">
        <f>IF(D36=0,0,D69*D80)</f>
        <v>-1.1205658983413023</v>
      </c>
      <c r="E87" s="6">
        <f>IF(E36=0,0,E69*E80)</f>
        <v>-0.54907729018723817</v>
      </c>
      <c r="F87" s="6">
        <f>IF(F36=0,0,F69*F80)</f>
        <v>-0.54907729018723817</v>
      </c>
      <c r="G87" s="6">
        <f>IF(G36=0,0,G69*G80)</f>
        <v>-1.1205658983413023</v>
      </c>
    </row>
    <row r="88" spans="2:7" x14ac:dyDescent="0.25">
      <c r="B88" s="8" t="s">
        <v>32</v>
      </c>
      <c r="C88" s="62" t="s">
        <v>88</v>
      </c>
      <c r="D88" s="6">
        <f>IF(D37=0,0,D69*D81)</f>
        <v>-0.50934813560968284</v>
      </c>
      <c r="E88" s="6">
        <f>IF(E37=0,0,E69*E81)</f>
        <v>0</v>
      </c>
      <c r="F88" s="6">
        <f>IF(F37=0,0,F69*F81)</f>
        <v>-0.24958058644874459</v>
      </c>
      <c r="G88" s="6">
        <f>IF(G37=0,0,G69*G81)</f>
        <v>0</v>
      </c>
    </row>
    <row r="89" spans="2:7" x14ac:dyDescent="0.25">
      <c r="B89" s="8" t="s">
        <v>33</v>
      </c>
      <c r="C89" s="62" t="s">
        <v>88</v>
      </c>
      <c r="D89" s="6">
        <f t="shared" ref="D89:G89" si="10">D69*D82</f>
        <v>-0.48024252786019428</v>
      </c>
      <c r="E89" s="6">
        <f t="shared" si="10"/>
        <v>-0.28701767441605625</v>
      </c>
      <c r="F89" s="6">
        <f t="shared" si="10"/>
        <v>-0.23531883865149519</v>
      </c>
      <c r="G89" s="6">
        <f t="shared" si="10"/>
        <v>-0.58575035595113523</v>
      </c>
    </row>
    <row r="90" spans="2:7" x14ac:dyDescent="0.25">
      <c r="B90" t="s">
        <v>34</v>
      </c>
      <c r="C90" s="208">
        <v>1.5</v>
      </c>
      <c r="D90" s="56">
        <f>C90</f>
        <v>1.5</v>
      </c>
      <c r="E90" s="56">
        <f>C90</f>
        <v>1.5</v>
      </c>
      <c r="F90" s="56">
        <f>C90</f>
        <v>1.5</v>
      </c>
      <c r="G90" s="56">
        <f>C90</f>
        <v>1.5</v>
      </c>
    </row>
    <row r="91" spans="2:7" x14ac:dyDescent="0.25">
      <c r="B91" s="174" t="s">
        <v>294</v>
      </c>
      <c r="C91" s="208">
        <v>0</v>
      </c>
      <c r="D91" s="56">
        <f>C91</f>
        <v>0</v>
      </c>
      <c r="E91" s="56">
        <f>C91</f>
        <v>0</v>
      </c>
      <c r="F91" s="56">
        <f>C91</f>
        <v>0</v>
      </c>
      <c r="G91" s="56">
        <f>C91</f>
        <v>0</v>
      </c>
    </row>
    <row r="92" spans="2:7" x14ac:dyDescent="0.25">
      <c r="B92" s="73" t="s">
        <v>210</v>
      </c>
      <c r="D92" s="101" t="s">
        <v>80</v>
      </c>
      <c r="E92" s="102" t="s">
        <v>81</v>
      </c>
      <c r="F92" s="102" t="s">
        <v>82</v>
      </c>
      <c r="G92" s="102" t="s">
        <v>83</v>
      </c>
    </row>
    <row r="93" spans="2:7" x14ac:dyDescent="0.25">
      <c r="B93" s="104" t="s">
        <v>30</v>
      </c>
      <c r="C93" s="63" t="s">
        <v>88</v>
      </c>
      <c r="D93" s="103">
        <f>IF(D86=0,0,(-1*D86*D90)+D91)</f>
        <v>2.1392621695606677</v>
      </c>
      <c r="E93" s="103">
        <f>IF(E86=0,0,(-1*E86*E90)+E91)</f>
        <v>1.0482384630847272</v>
      </c>
      <c r="F93" s="103">
        <f>IF(F86=0,0,(-1*F86*F90)+F91)</f>
        <v>1.0482384630847272</v>
      </c>
      <c r="G93" s="103">
        <f>IF(G86=0,0,(-1*G86*G90)+G91)</f>
        <v>2.1392621695606677</v>
      </c>
    </row>
    <row r="94" spans="2:7" x14ac:dyDescent="0.25">
      <c r="B94" s="104" t="s">
        <v>31</v>
      </c>
      <c r="C94" s="63" t="s">
        <v>88</v>
      </c>
      <c r="D94" s="103">
        <f>IF(D87=0,0,(-1*D87*D90)+D91)</f>
        <v>1.6808488475119534</v>
      </c>
      <c r="E94" s="103">
        <f>IF(E87=0,0,(-1*E87*E90)+E91)</f>
        <v>0.82361593528085719</v>
      </c>
      <c r="F94" s="103">
        <f>IF(F87=0,0,(-1*F87*F90)+F91)</f>
        <v>0.82361593528085719</v>
      </c>
      <c r="G94" s="103">
        <f>IF(G87=0,0,(-1*G87*G90)+G91)</f>
        <v>1.6808488475119534</v>
      </c>
    </row>
    <row r="95" spans="2:7" x14ac:dyDescent="0.25">
      <c r="B95" s="104" t="s">
        <v>32</v>
      </c>
      <c r="C95" s="63" t="s">
        <v>88</v>
      </c>
      <c r="D95" s="103">
        <f>IF(D88=0,0,(-1*D88*D90)+D91)</f>
        <v>0.76402220341452431</v>
      </c>
      <c r="E95" s="103">
        <f>IF(E88=0,0,(-1*E88*E90)+E91)</f>
        <v>0</v>
      </c>
      <c r="F95" s="103">
        <f>IF(F88=0,0,(-1*F88*F90)+F91)</f>
        <v>0.37437087967311689</v>
      </c>
      <c r="G95" s="103">
        <f>IF(G88=0,0,(-1*G88*G90)+G91)</f>
        <v>0</v>
      </c>
    </row>
    <row r="96" spans="2:7" x14ac:dyDescent="0.25">
      <c r="B96" s="104" t="s">
        <v>33</v>
      </c>
      <c r="C96" s="63" t="s">
        <v>88</v>
      </c>
      <c r="D96" s="103">
        <f>IF(D89=0,0,(-1*D89*D90)+D91)</f>
        <v>0.72036379179029142</v>
      </c>
      <c r="E96" s="103">
        <f>IF(E89=0,0,(-1*E89*E90)+E91)</f>
        <v>0.4305265116240844</v>
      </c>
      <c r="F96" s="103">
        <f>IF(F89=0,0,(-1*F89*F90)+F91)</f>
        <v>0.3529782579772428</v>
      </c>
      <c r="G96" s="103">
        <f>IF(G89=0,0,(-1*G89*G90)+G91)</f>
        <v>0.87862553392670284</v>
      </c>
    </row>
    <row r="97" spans="2:7" x14ac:dyDescent="0.25">
      <c r="B97" s="58"/>
      <c r="C97" s="57"/>
      <c r="D97" s="57"/>
      <c r="E97" s="57"/>
      <c r="F97" s="57"/>
      <c r="G97" s="57"/>
    </row>
    <row r="98" spans="2:7" x14ac:dyDescent="0.25">
      <c r="B98" s="59" t="s">
        <v>50</v>
      </c>
      <c r="C98" s="24"/>
      <c r="D98" s="241" t="s">
        <v>93</v>
      </c>
      <c r="E98" s="241"/>
      <c r="F98" s="241"/>
      <c r="G98" s="241"/>
    </row>
    <row r="99" spans="2:7" x14ac:dyDescent="0.25">
      <c r="B99" s="15"/>
      <c r="C99" s="53"/>
      <c r="D99" s="238" t="s">
        <v>91</v>
      </c>
      <c r="E99" s="238"/>
      <c r="F99" s="238"/>
      <c r="G99" s="238"/>
    </row>
    <row r="100" spans="2:7" x14ac:dyDescent="0.25">
      <c r="B100" s="16"/>
      <c r="C100" s="54"/>
      <c r="D100" s="239" t="s">
        <v>92</v>
      </c>
      <c r="E100" s="239"/>
      <c r="F100" s="239"/>
      <c r="G100" s="239"/>
    </row>
    <row r="101" spans="2:7" x14ac:dyDescent="0.25">
      <c r="D101" s="29"/>
      <c r="E101" s="29"/>
      <c r="F101" s="29"/>
      <c r="G101" s="29"/>
    </row>
    <row r="102" spans="2:7" x14ac:dyDescent="0.25">
      <c r="D102" s="240"/>
      <c r="E102" s="240"/>
      <c r="F102" s="240"/>
      <c r="G102" s="240"/>
    </row>
    <row r="103" spans="2:7" x14ac:dyDescent="0.25">
      <c r="C103" s="27"/>
      <c r="D103" s="240"/>
      <c r="E103" s="240"/>
      <c r="F103" s="240"/>
      <c r="G103" s="240"/>
    </row>
    <row r="104" spans="2:7" x14ac:dyDescent="0.25">
      <c r="D104" s="240"/>
      <c r="E104" s="240"/>
      <c r="F104" s="240"/>
      <c r="G104" s="240"/>
    </row>
    <row r="105" spans="2:7" x14ac:dyDescent="0.25">
      <c r="C105" s="2"/>
      <c r="D105" s="240"/>
      <c r="E105" s="240"/>
      <c r="F105" s="240"/>
      <c r="G105" s="240"/>
    </row>
    <row r="106" spans="2:7" x14ac:dyDescent="0.25">
      <c r="D106" s="240"/>
      <c r="E106" s="240"/>
      <c r="F106" s="240"/>
      <c r="G106" s="240"/>
    </row>
    <row r="107" spans="2:7" x14ac:dyDescent="0.25">
      <c r="D107" s="240"/>
      <c r="E107" s="240"/>
      <c r="F107" s="240"/>
      <c r="G107" s="240"/>
    </row>
    <row r="108" spans="2:7" x14ac:dyDescent="0.25">
      <c r="D108" s="240"/>
      <c r="E108" s="240"/>
      <c r="F108" s="240"/>
      <c r="G108" s="240"/>
    </row>
    <row r="109" spans="2:7" x14ac:dyDescent="0.25">
      <c r="D109" s="240"/>
      <c r="E109" s="240"/>
      <c r="F109" s="240"/>
      <c r="G109" s="240"/>
    </row>
    <row r="110" spans="2:7" x14ac:dyDescent="0.25">
      <c r="D110" s="240"/>
      <c r="E110" s="240"/>
      <c r="F110" s="240"/>
      <c r="G110" s="240"/>
    </row>
    <row r="111" spans="2:7" x14ac:dyDescent="0.25">
      <c r="D111" s="240"/>
      <c r="E111" s="240"/>
      <c r="F111" s="240"/>
      <c r="G111" s="240"/>
    </row>
    <row r="112" spans="2:7" x14ac:dyDescent="0.25">
      <c r="D112" s="240"/>
      <c r="E112" s="240"/>
      <c r="F112" s="240"/>
      <c r="G112" s="240"/>
    </row>
    <row r="113" spans="4:7" x14ac:dyDescent="0.25">
      <c r="D113" s="240"/>
      <c r="E113" s="240"/>
      <c r="F113" s="240"/>
      <c r="G113" s="240"/>
    </row>
    <row r="114" spans="4:7" x14ac:dyDescent="0.25">
      <c r="D114" s="240"/>
      <c r="E114" s="240"/>
      <c r="F114" s="240"/>
      <c r="G114" s="240"/>
    </row>
    <row r="115" spans="4:7" x14ac:dyDescent="0.25">
      <c r="D115" s="240"/>
      <c r="E115" s="240"/>
      <c r="F115" s="240"/>
      <c r="G115" s="240"/>
    </row>
    <row r="116" spans="4:7" x14ac:dyDescent="0.25">
      <c r="D116" s="240"/>
      <c r="E116" s="240"/>
      <c r="F116" s="240"/>
      <c r="G116" s="240"/>
    </row>
    <row r="117" spans="4:7" x14ac:dyDescent="0.25">
      <c r="D117" s="240"/>
      <c r="E117" s="240"/>
      <c r="F117" s="240"/>
      <c r="G117" s="240"/>
    </row>
    <row r="118" spans="4:7" x14ac:dyDescent="0.25">
      <c r="D118" s="240"/>
      <c r="E118" s="240"/>
      <c r="F118" s="240"/>
      <c r="G118" s="240"/>
    </row>
    <row r="119" spans="4:7" x14ac:dyDescent="0.25">
      <c r="D119" s="240"/>
      <c r="E119" s="240"/>
      <c r="F119" s="240"/>
      <c r="G119" s="240"/>
    </row>
    <row r="120" spans="4:7" x14ac:dyDescent="0.25">
      <c r="D120" s="240"/>
      <c r="E120" s="240"/>
      <c r="F120" s="240"/>
      <c r="G120" s="240"/>
    </row>
    <row r="121" spans="4:7" x14ac:dyDescent="0.25">
      <c r="D121" s="240"/>
      <c r="E121" s="240"/>
      <c r="F121" s="240"/>
      <c r="G121" s="240"/>
    </row>
    <row r="122" spans="4:7" x14ac:dyDescent="0.25">
      <c r="D122" s="240"/>
      <c r="E122" s="240"/>
      <c r="F122" s="240"/>
      <c r="G122" s="240"/>
    </row>
    <row r="123" spans="4:7" x14ac:dyDescent="0.25">
      <c r="D123" s="240"/>
      <c r="E123" s="240"/>
      <c r="F123" s="240"/>
      <c r="G123" s="240"/>
    </row>
    <row r="124" spans="4:7" x14ac:dyDescent="0.25">
      <c r="D124" s="240"/>
      <c r="E124" s="240"/>
      <c r="F124" s="240"/>
      <c r="G124" s="240"/>
    </row>
    <row r="125" spans="4:7" x14ac:dyDescent="0.25">
      <c r="D125" s="240"/>
      <c r="E125" s="240"/>
      <c r="F125" s="240"/>
      <c r="G125" s="240"/>
    </row>
    <row r="126" spans="4:7" x14ac:dyDescent="0.25">
      <c r="D126" s="240"/>
      <c r="E126" s="240"/>
      <c r="F126" s="240"/>
      <c r="G126" s="240"/>
    </row>
    <row r="127" spans="4:7" x14ac:dyDescent="0.25">
      <c r="D127" s="240"/>
      <c r="E127" s="240"/>
      <c r="F127" s="240"/>
      <c r="G127" s="240"/>
    </row>
    <row r="128" spans="4:7" x14ac:dyDescent="0.25">
      <c r="D128" s="240"/>
      <c r="E128" s="240"/>
      <c r="F128" s="240"/>
      <c r="G128" s="240"/>
    </row>
    <row r="129" spans="2:7" x14ac:dyDescent="0.25">
      <c r="D129" s="240"/>
      <c r="E129" s="240"/>
      <c r="F129" s="240"/>
      <c r="G129" s="240"/>
    </row>
    <row r="130" spans="2:7" ht="15" customHeight="1" x14ac:dyDescent="0.25">
      <c r="D130" s="240"/>
      <c r="E130" s="240"/>
      <c r="F130" s="240"/>
      <c r="G130" s="240"/>
    </row>
    <row r="131" spans="2:7" ht="15" hidden="1" customHeight="1" x14ac:dyDescent="0.25">
      <c r="B131" s="26">
        <v>1</v>
      </c>
      <c r="D131" s="29"/>
      <c r="E131" s="29"/>
      <c r="F131" s="29"/>
      <c r="G131" s="29"/>
    </row>
    <row r="132" spans="2:7" ht="15" hidden="1" customHeight="1" x14ac:dyDescent="0.25">
      <c r="B132" s="26" t="s">
        <v>227</v>
      </c>
      <c r="D132" s="29"/>
      <c r="E132" s="29"/>
      <c r="F132" s="29"/>
      <c r="G132" s="29"/>
    </row>
    <row r="133" spans="2:7" ht="15" hidden="1" customHeight="1" x14ac:dyDescent="0.25">
      <c r="B133" s="26">
        <v>2</v>
      </c>
      <c r="D133" s="29"/>
      <c r="E133" s="29"/>
      <c r="F133" s="29"/>
      <c r="G133" s="29"/>
    </row>
    <row r="134" spans="2:7" ht="15" hidden="1" customHeight="1" x14ac:dyDescent="0.25">
      <c r="B134" s="26" t="s">
        <v>228</v>
      </c>
      <c r="D134" t="s">
        <v>249</v>
      </c>
      <c r="E134" s="29"/>
      <c r="F134" s="29"/>
      <c r="G134" s="29"/>
    </row>
    <row r="135" spans="2:7" ht="15" hidden="1" customHeight="1" x14ac:dyDescent="0.25">
      <c r="B135" s="26">
        <v>3</v>
      </c>
      <c r="E135" s="29"/>
      <c r="F135" s="29"/>
      <c r="G135" s="29"/>
    </row>
    <row r="136" spans="2:7" ht="15" hidden="1" customHeight="1" x14ac:dyDescent="0.25">
      <c r="B136" s="26">
        <v>0</v>
      </c>
      <c r="D136" t="s">
        <v>249</v>
      </c>
      <c r="E136" s="29" t="s">
        <v>310</v>
      </c>
      <c r="F136" s="29"/>
      <c r="G136" s="29"/>
    </row>
    <row r="137" spans="2:7" ht="15" hidden="1" customHeight="1" x14ac:dyDescent="0.25">
      <c r="B137" t="s">
        <v>60</v>
      </c>
      <c r="D137" t="s">
        <v>248</v>
      </c>
      <c r="E137" s="29" t="s">
        <v>312</v>
      </c>
      <c r="F137" s="29"/>
      <c r="G137" s="29"/>
    </row>
    <row r="138" spans="2:7" ht="15" hidden="1" customHeight="1" x14ac:dyDescent="0.25">
      <c r="B138" t="s">
        <v>51</v>
      </c>
      <c r="C138" t="s">
        <v>218</v>
      </c>
      <c r="E138" s="29"/>
      <c r="F138" s="29"/>
      <c r="G138" s="29"/>
    </row>
    <row r="139" spans="2:7" ht="15" hidden="1" customHeight="1" x14ac:dyDescent="0.25">
      <c r="B139" t="s">
        <v>61</v>
      </c>
      <c r="C139" t="s">
        <v>222</v>
      </c>
      <c r="D139" t="s">
        <v>249</v>
      </c>
      <c r="E139" s="29" t="s">
        <v>310</v>
      </c>
      <c r="F139" s="29"/>
      <c r="G139" s="29"/>
    </row>
    <row r="140" spans="2:7" ht="15" hidden="1" customHeight="1" x14ac:dyDescent="0.25">
      <c r="B140" t="s">
        <v>62</v>
      </c>
      <c r="D140" t="s">
        <v>250</v>
      </c>
      <c r="E140" s="29" t="s">
        <v>311</v>
      </c>
      <c r="F140" s="29"/>
      <c r="G140" s="29"/>
    </row>
    <row r="141" spans="2:7" ht="15" hidden="1" customHeight="1" x14ac:dyDescent="0.25">
      <c r="B141" t="s">
        <v>63</v>
      </c>
      <c r="C141" t="s">
        <v>184</v>
      </c>
      <c r="D141" t="s">
        <v>248</v>
      </c>
      <c r="E141" s="29" t="s">
        <v>312</v>
      </c>
      <c r="F141" s="29"/>
      <c r="G141" s="29"/>
    </row>
    <row r="142" spans="2:7" ht="15" hidden="1" customHeight="1" x14ac:dyDescent="0.25">
      <c r="B142" t="s">
        <v>66</v>
      </c>
      <c r="C142" t="s">
        <v>185</v>
      </c>
      <c r="D142" t="s">
        <v>251</v>
      </c>
      <c r="E142" s="29"/>
      <c r="F142" s="29"/>
      <c r="G142" s="29"/>
    </row>
    <row r="143" spans="2:7" ht="15" hidden="1" customHeight="1" x14ac:dyDescent="0.25">
      <c r="B143" t="s">
        <v>65</v>
      </c>
      <c r="D143" s="29"/>
      <c r="E143" s="29"/>
      <c r="F143" s="29"/>
      <c r="G143" s="29"/>
    </row>
    <row r="144" spans="2:7" ht="15" customHeight="1" x14ac:dyDescent="0.25">
      <c r="D144" s="29"/>
      <c r="E144" s="29"/>
      <c r="F144" s="29"/>
      <c r="G144" s="29"/>
    </row>
    <row r="145" spans="4:7" x14ac:dyDescent="0.25">
      <c r="D145" s="236" t="s">
        <v>94</v>
      </c>
      <c r="E145" s="236"/>
      <c r="F145" s="236"/>
      <c r="G145" s="236"/>
    </row>
    <row r="146" spans="4:7" x14ac:dyDescent="0.25">
      <c r="D146" s="236"/>
      <c r="E146" s="236"/>
      <c r="F146" s="236"/>
      <c r="G146" s="236"/>
    </row>
    <row r="147" spans="4:7" s="94" customFormat="1" x14ac:dyDescent="0.25"/>
    <row r="148" spans="4:7" s="94" customFormat="1" x14ac:dyDescent="0.25"/>
    <row r="149" spans="4:7" s="94" customFormat="1" x14ac:dyDescent="0.25"/>
    <row r="150" spans="4:7" s="94" customFormat="1" x14ac:dyDescent="0.25"/>
    <row r="151" spans="4:7" s="94" customFormat="1" x14ac:dyDescent="0.25"/>
    <row r="152" spans="4:7" s="94" customFormat="1" x14ac:dyDescent="0.25"/>
    <row r="153" spans="4:7" s="94" customFormat="1" x14ac:dyDescent="0.25"/>
    <row r="154" spans="4:7" s="94" customFormat="1" x14ac:dyDescent="0.25"/>
    <row r="155" spans="4:7" s="94" customFormat="1" x14ac:dyDescent="0.25"/>
    <row r="156" spans="4:7" s="94" customFormat="1" x14ac:dyDescent="0.25"/>
    <row r="157" spans="4:7" s="94" customFormat="1" x14ac:dyDescent="0.25"/>
    <row r="158" spans="4:7" s="94" customFormat="1" x14ac:dyDescent="0.25"/>
    <row r="159" spans="4:7" s="94" customFormat="1" x14ac:dyDescent="0.25"/>
    <row r="160" spans="4:7" s="94" customFormat="1" x14ac:dyDescent="0.25"/>
    <row r="161" s="94" customFormat="1" x14ac:dyDescent="0.25"/>
    <row r="162" s="94" customFormat="1" x14ac:dyDescent="0.25"/>
    <row r="163" s="94" customFormat="1" x14ac:dyDescent="0.25"/>
    <row r="164" s="94" customFormat="1" x14ac:dyDescent="0.25"/>
    <row r="165" s="94" customFormat="1" x14ac:dyDescent="0.25"/>
    <row r="166" s="94" customFormat="1" x14ac:dyDescent="0.25"/>
    <row r="167" s="94" customFormat="1" x14ac:dyDescent="0.25"/>
    <row r="168" s="94" customFormat="1" x14ac:dyDescent="0.25"/>
    <row r="169" s="94" customFormat="1" x14ac:dyDescent="0.25"/>
    <row r="170" s="94" customFormat="1" x14ac:dyDescent="0.25"/>
    <row r="171" s="94" customFormat="1" x14ac:dyDescent="0.25"/>
    <row r="172" s="94" customFormat="1" x14ac:dyDescent="0.25"/>
    <row r="173" s="94" customFormat="1" x14ac:dyDescent="0.25"/>
    <row r="174" s="94" customFormat="1" x14ac:dyDescent="0.25"/>
    <row r="175" s="94" customFormat="1" x14ac:dyDescent="0.25"/>
    <row r="176" s="94" customFormat="1" x14ac:dyDescent="0.25"/>
    <row r="177" s="94" customFormat="1" x14ac:dyDescent="0.25"/>
    <row r="178" s="94" customFormat="1" x14ac:dyDescent="0.25"/>
    <row r="179" s="94" customFormat="1" x14ac:dyDescent="0.25"/>
    <row r="180" s="94" customFormat="1" x14ac:dyDescent="0.25"/>
    <row r="181" s="94" customFormat="1" x14ac:dyDescent="0.25"/>
    <row r="182" s="94" customFormat="1" x14ac:dyDescent="0.25"/>
    <row r="183" s="94" customFormat="1" x14ac:dyDescent="0.25"/>
    <row r="184" s="94" customFormat="1" x14ac:dyDescent="0.25"/>
    <row r="185" s="94" customFormat="1" x14ac:dyDescent="0.25"/>
    <row r="186" s="94" customFormat="1" x14ac:dyDescent="0.25"/>
    <row r="187" s="94" customFormat="1" x14ac:dyDescent="0.25"/>
    <row r="188" s="94" customFormat="1" x14ac:dyDescent="0.25"/>
    <row r="189" s="94" customFormat="1" x14ac:dyDescent="0.25"/>
    <row r="190" s="94" customFormat="1" x14ac:dyDescent="0.25"/>
    <row r="191" s="94" customFormat="1" x14ac:dyDescent="0.25"/>
    <row r="192" s="94" customFormat="1" x14ac:dyDescent="0.25"/>
    <row r="193" s="94" customFormat="1" x14ac:dyDescent="0.25"/>
    <row r="194" s="94" customFormat="1" x14ac:dyDescent="0.25"/>
    <row r="195" s="94" customFormat="1" x14ac:dyDescent="0.25"/>
    <row r="196" s="94" customFormat="1" x14ac:dyDescent="0.25"/>
    <row r="197" s="94" customFormat="1" x14ac:dyDescent="0.25"/>
    <row r="198" s="94" customFormat="1" x14ac:dyDescent="0.25"/>
    <row r="199" s="94" customFormat="1" x14ac:dyDescent="0.25"/>
    <row r="200" s="94" customFormat="1" x14ac:dyDescent="0.25"/>
    <row r="201" s="94" customFormat="1" x14ac:dyDescent="0.25"/>
    <row r="202" s="94" customFormat="1" x14ac:dyDescent="0.25"/>
    <row r="203" s="94" customFormat="1" x14ac:dyDescent="0.25"/>
    <row r="204" s="94" customFormat="1" x14ac:dyDescent="0.25"/>
    <row r="205" s="94" customFormat="1" x14ac:dyDescent="0.25"/>
    <row r="206" s="94" customFormat="1" x14ac:dyDescent="0.25"/>
    <row r="207" s="94" customFormat="1" x14ac:dyDescent="0.25"/>
    <row r="208" s="94" customFormat="1" x14ac:dyDescent="0.25"/>
    <row r="209" s="94" customFormat="1" x14ac:dyDescent="0.25"/>
    <row r="210" s="94" customFormat="1" x14ac:dyDescent="0.25"/>
    <row r="211" s="94" customFormat="1" x14ac:dyDescent="0.25"/>
    <row r="212" s="94" customFormat="1" x14ac:dyDescent="0.25"/>
    <row r="213" s="94" customFormat="1" x14ac:dyDescent="0.25"/>
  </sheetData>
  <sheetProtection algorithmName="SHA-512" hashValue="lkE5Ui7DM3iC0N/iH7XRij55q338DunVYuFKIr6L/W4OAb2Ix54fRv4HkPtjPYTay9CuSA24onxX6SjbipdeGw==" saltValue="TBSKAN7p3Th22UnwGLMQRg==" spinCount="100000" sheet="1" objects="1" scenarios="1"/>
  <mergeCells count="13">
    <mergeCell ref="B2:G3"/>
    <mergeCell ref="B4:G4"/>
    <mergeCell ref="H11:H21"/>
    <mergeCell ref="H26:H34"/>
    <mergeCell ref="D145:G146"/>
    <mergeCell ref="B39:C39"/>
    <mergeCell ref="D8:E8"/>
    <mergeCell ref="D99:G99"/>
    <mergeCell ref="D100:G100"/>
    <mergeCell ref="D102:G130"/>
    <mergeCell ref="D98:G98"/>
    <mergeCell ref="B53:C53"/>
    <mergeCell ref="B62:C62"/>
  </mergeCells>
  <conditionalFormatting sqref="D44">
    <cfRule type="expression" dxfId="11" priority="4">
      <formula>IF($D$21="IV",1)</formula>
    </cfRule>
  </conditionalFormatting>
  <conditionalFormatting sqref="E44">
    <cfRule type="expression" dxfId="10" priority="3">
      <formula>IF($E$21="IV",1)</formula>
    </cfRule>
  </conditionalFormatting>
  <conditionalFormatting sqref="F44">
    <cfRule type="expression" dxfId="9" priority="2">
      <formula>IF($F$21="IV",1)</formula>
    </cfRule>
  </conditionalFormatting>
  <conditionalFormatting sqref="G44">
    <cfRule type="expression" dxfId="8" priority="1">
      <formula>IF($G$21="IV",1)</formula>
    </cfRule>
  </conditionalFormatting>
  <dataValidations count="8">
    <dataValidation type="list" allowBlank="1" showInputMessage="1" showErrorMessage="1" sqref="C7" xr:uid="{00000000-0002-0000-0600-000000000000}">
      <formula1>strefyroz</formula1>
    </dataValidation>
    <dataValidation type="list" allowBlank="1" showInputMessage="1" showErrorMessage="1" sqref="C68" xr:uid="{00000000-0002-0000-0600-000001000000}">
      <formula1>Norma</formula1>
    </dataValidation>
    <dataValidation type="list" allowBlank="1" showInputMessage="1" showErrorMessage="1" sqref="D21:G21" xr:uid="{00000000-0002-0000-0600-000002000000}">
      <formula1>Teren</formula1>
    </dataValidation>
    <dataValidation type="list" allowBlank="1" showInputMessage="1" sqref="D41:E41" xr:uid="{00000000-0002-0000-0600-000003000000}">
      <formula1>IF(D40="h ≤ b",wysok1,IF(D40="b &lt; h ≤ 2b",wysok2,IF(D40="h &gt; 2b",wysok3)))</formula1>
    </dataValidation>
    <dataValidation type="list" allowBlank="1" showInputMessage="1" showErrorMessage="1" sqref="C15" xr:uid="{00000000-0002-0000-0600-000004000000}">
      <formula1>wspkier</formula1>
    </dataValidation>
    <dataValidation allowBlank="1" showInputMessage="1" sqref="F41:G41" xr:uid="{00000000-0002-0000-0600-000005000000}"/>
    <dataValidation type="list" allowBlank="1" showInputMessage="1" sqref="D74:G76" xr:uid="{00000000-0002-0000-0600-000006000000}">
      <formula1>$E$139:$E$141</formula1>
    </dataValidation>
    <dataValidation type="list" allowBlank="1" showInputMessage="1" sqref="D77:G77" xr:uid="{00000000-0002-0000-0600-000007000000}">
      <formula1>$E$136:$E$137</formula1>
    </dataValidation>
  </dataValidations>
  <hyperlinks>
    <hyperlink ref="D8" r:id="rId1" xr:uid="{00000000-0004-0000-0600-000000000000}"/>
  </hyperlinks>
  <pageMargins left="0.7" right="0.7" top="0.75" bottom="0.75" header="0.3" footer="0.3"/>
  <pageSetup paperSize="9" orientation="portrait" horizontalDpi="1200" verticalDpi="1200" r:id="rId2"/>
  <ignoredErrors>
    <ignoredError sqref="D57:G57 F42" formula="1"/>
    <ignoredError sqref="E43:G43" unlockedFormula="1"/>
  </ignoredErrors>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V105"/>
  <sheetViews>
    <sheetView zoomScaleNormal="100" workbookViewId="0">
      <selection activeCell="B2" sqref="B2:V3"/>
    </sheetView>
  </sheetViews>
  <sheetFormatPr defaultRowHeight="15" x14ac:dyDescent="0.25"/>
  <sheetData>
    <row r="2" spans="2:22" x14ac:dyDescent="0.25">
      <c r="B2" s="230" t="s">
        <v>188</v>
      </c>
      <c r="C2" s="230"/>
      <c r="D2" s="230"/>
      <c r="E2" s="230"/>
      <c r="F2" s="230"/>
      <c r="G2" s="230"/>
      <c r="H2" s="230"/>
      <c r="I2" s="230"/>
      <c r="J2" s="230"/>
      <c r="K2" s="230"/>
      <c r="L2" s="230"/>
      <c r="M2" s="230"/>
      <c r="N2" s="230"/>
      <c r="O2" s="230"/>
      <c r="P2" s="230"/>
      <c r="Q2" s="230"/>
      <c r="R2" s="230"/>
      <c r="S2" s="230"/>
      <c r="T2" s="230"/>
      <c r="U2" s="230"/>
      <c r="V2" s="230"/>
    </row>
    <row r="3" spans="2:22" x14ac:dyDescent="0.25">
      <c r="B3" s="230"/>
      <c r="C3" s="230"/>
      <c r="D3" s="230"/>
      <c r="E3" s="230"/>
      <c r="F3" s="230"/>
      <c r="G3" s="230"/>
      <c r="H3" s="230"/>
      <c r="I3" s="230"/>
      <c r="J3" s="230"/>
      <c r="K3" s="230"/>
      <c r="L3" s="230"/>
      <c r="M3" s="230"/>
      <c r="N3" s="230"/>
      <c r="O3" s="230"/>
      <c r="P3" s="230"/>
      <c r="Q3" s="230"/>
      <c r="R3" s="230"/>
      <c r="S3" s="230"/>
      <c r="T3" s="230"/>
      <c r="U3" s="230"/>
      <c r="V3" s="230"/>
    </row>
    <row r="4" spans="2:22" x14ac:dyDescent="0.25">
      <c r="B4" s="251" t="s">
        <v>253</v>
      </c>
      <c r="C4" s="251"/>
      <c r="D4" s="251"/>
      <c r="E4" s="251"/>
      <c r="F4" s="251"/>
      <c r="G4" s="251"/>
      <c r="H4" s="251"/>
      <c r="I4" s="251"/>
      <c r="J4" s="251"/>
      <c r="K4" s="251"/>
      <c r="L4" s="251"/>
      <c r="M4" s="251"/>
      <c r="N4" s="251"/>
      <c r="O4" s="251"/>
      <c r="P4" s="251"/>
      <c r="Q4" s="251"/>
      <c r="R4" s="251"/>
      <c r="S4" s="251"/>
      <c r="T4" s="251"/>
      <c r="U4" s="251"/>
      <c r="V4" s="251"/>
    </row>
    <row r="6" spans="2:22" x14ac:dyDescent="0.25">
      <c r="B6" s="247" t="s">
        <v>95</v>
      </c>
      <c r="C6" s="248"/>
      <c r="D6" s="248"/>
      <c r="E6" s="248"/>
      <c r="F6" s="248"/>
      <c r="G6" s="248"/>
      <c r="H6" s="248"/>
      <c r="I6" s="248"/>
      <c r="J6" s="248"/>
      <c r="K6" s="248"/>
      <c r="L6" s="248"/>
      <c r="M6" s="248"/>
      <c r="N6" s="248"/>
      <c r="O6" s="248"/>
      <c r="P6" s="248"/>
      <c r="Q6" s="248"/>
      <c r="R6" s="248"/>
      <c r="S6" s="248"/>
      <c r="T6" s="248"/>
      <c r="U6" s="248"/>
      <c r="V6" s="248"/>
    </row>
    <row r="7" spans="2:22" x14ac:dyDescent="0.25">
      <c r="B7" s="136"/>
      <c r="C7" s="137"/>
      <c r="D7" s="137"/>
      <c r="E7" s="137"/>
      <c r="F7" s="137"/>
      <c r="G7" s="137"/>
      <c r="H7" s="137"/>
      <c r="I7" s="137"/>
      <c r="J7" s="137"/>
      <c r="K7" s="137"/>
      <c r="L7" s="137"/>
      <c r="M7" s="137"/>
      <c r="N7" s="137"/>
      <c r="O7" s="137"/>
      <c r="P7" s="137"/>
      <c r="Q7" s="137"/>
      <c r="R7" s="137"/>
      <c r="S7" s="137"/>
      <c r="T7" s="137"/>
      <c r="U7" s="137"/>
      <c r="V7" s="137"/>
    </row>
    <row r="8" spans="2:22" x14ac:dyDescent="0.25">
      <c r="B8" s="136"/>
      <c r="C8" s="137"/>
      <c r="D8" s="182"/>
      <c r="E8" s="182"/>
      <c r="F8" s="182"/>
      <c r="G8" s="182"/>
      <c r="H8" s="182"/>
      <c r="I8" s="183"/>
      <c r="J8" s="245" t="str">
        <f>"Wysokość  ze = "&amp;TEXT('Obliczenia wiatr I'!D46,"####0,0##")&amp;" m"</f>
        <v>Wysokość  ze = 25,0 m</v>
      </c>
      <c r="K8" s="245"/>
      <c r="L8" s="245"/>
      <c r="M8" s="245"/>
      <c r="N8" s="245"/>
      <c r="O8" s="182"/>
      <c r="P8" s="182"/>
      <c r="Q8" s="182"/>
      <c r="R8" s="182"/>
      <c r="S8" s="137"/>
      <c r="T8" s="137"/>
      <c r="U8" s="137"/>
      <c r="V8" s="137"/>
    </row>
    <row r="9" spans="2:22" x14ac:dyDescent="0.25">
      <c r="B9" s="136"/>
      <c r="C9" s="137"/>
      <c r="D9" s="182"/>
      <c r="E9" s="182"/>
      <c r="F9" s="182"/>
      <c r="G9" s="182"/>
      <c r="H9" s="182"/>
      <c r="I9" s="183"/>
      <c r="J9" s="245"/>
      <c r="K9" s="245"/>
      <c r="L9" s="245"/>
      <c r="M9" s="245"/>
      <c r="N9" s="245"/>
      <c r="O9" s="182"/>
      <c r="P9" s="182"/>
      <c r="Q9" s="182"/>
      <c r="R9" s="182"/>
      <c r="S9" s="137"/>
      <c r="T9" s="137"/>
      <c r="U9" s="137"/>
      <c r="V9" s="137"/>
    </row>
    <row r="10" spans="2:22" x14ac:dyDescent="0.25">
      <c r="D10" s="81"/>
      <c r="E10" s="81"/>
      <c r="F10" s="81"/>
      <c r="G10" s="81"/>
      <c r="H10" s="81"/>
      <c r="I10" s="183"/>
      <c r="J10" s="245"/>
      <c r="K10" s="245"/>
      <c r="L10" s="245"/>
      <c r="M10" s="245"/>
      <c r="N10" s="245"/>
      <c r="O10" s="81"/>
      <c r="P10" s="81"/>
      <c r="Q10" s="81"/>
      <c r="R10" s="81"/>
    </row>
    <row r="11" spans="2:22" x14ac:dyDescent="0.25">
      <c r="D11" s="81"/>
      <c r="E11" s="81"/>
      <c r="F11" s="81"/>
      <c r="G11" s="81"/>
      <c r="H11" s="81"/>
      <c r="I11" s="252" t="s">
        <v>180</v>
      </c>
      <c r="J11" s="257" t="str">
        <f>IF(K102=1,"",IF(K102=2,L60,IF(K102=3,"",IF(AND(K102=4,L69=N69,L60&gt;=L61),"",IF(AND(K102=4,L69&lt;&gt;N69,L60=L61),L61,IF(AND(K102=4,L60&gt;L61,L69&gt;N69),L61,IF(AND(K102=4,L60&gt;L61,L69&lt;N69),L60,IF(K102=5,"",IF(K102=6,"",IF(K102=7,L60,IF(K102=8,L60,IF(K102=9,"",IF(AND(K102=10,L62=0),L60,IF(AND(K102=10,L62&gt;0,L62&lt;L60,L70&gt;=N69,L71&lt;=N69),L62,IF(AND(K102=10,L62&gt;0,L62&lt;L60,L70&lt;N69),L60,IF(AND(K102=10,L62&gt;0,L62=L60),L60,IF(K102=11,L60,IF(K102=12,"",IF(K102=13,L60,IF(K102=14,L60,IF(K102=15,L60,IF(K102=16,L60,IF(K102=17,L60,IF(K102=18,L60,IF(K102=19,L60,IF(K102=20,L60,IF(K102=21,L60,IF(K102=22,L60,IF(K102=23,L60,"")))))))))))))))))))))))))))))</f>
        <v/>
      </c>
      <c r="K11" s="257" t="str">
        <f>IF(K102=1,"",IF(K102=2,"",IF(K102=3,"",IF(K102=4,"",IF(K102=5,"",IF(K102=6,"",IF(K102=7,"",IF(K102=8,"",IF(K102=9,"",IF(K102=10,"",IF(AND(K102=11,L62=0),L61-L60,IF(AND(K102=11,L62&gt;0,L62&lt;L60,N70&gt;=L69,N71&lt;=L69),L61,IF(AND(K102=11,L62&gt;0,L62&lt;L60,N70&lt;L69),L61+L62-L60,IF(AND(K102=11,L62&gt;0,L62=L60),L61,IF(K102=12,"",IF(K102=13,"",IF(K102=14,L61,IF(K102=15,L61,IF(K102=16,"",IF(AND(K102=17,L70&gt;N70),L62-L60,IF(AND(K102=17,N70&gt;L70),L61,IF(AND(K102=17,N70=L70),L61+L62-L60,IF(K102=18,L61,IF(K102=19,"",IF(K102=20,L61,IF(K102=21,L61,IF(K102=22,L61,IF(K102=23,L61,""))))))))))))))))))))))))))))</f>
        <v/>
      </c>
      <c r="L11" s="257" t="str">
        <f>IF(K102=1,"",IF(K102=2,"",IF(K102=3,"",IF(K102=4,"",IF(K102=5,L61,IF(K102=6,L61+L62,IF(K102=7,L61,IF(K102=8,L61+L62,IF(K102=9,L62,IF(K102=10,"",IF(K102=11,"",IF(K102=12,L62,IF(K102=13,"",IF(K102=14,L62,IF(K102=15,L62,IF(K102=16,L62-L60,IF(K102=17,"",IF(K102=18,L62-L60,IF(K102=19,L62-L60,IF(K102=20,L62-L60,IF(K102=21,L62-(L60+L61),IF(K102=22,L62-(L60+L61),IF(K102=23,L62-(L60+L61),"")))))))))))))))))))))))</f>
        <v/>
      </c>
      <c r="M11" s="257" t="str">
        <f>IF(K102=1,"",IF(K102=2,"",IF(K102=3,"",IF(K102=4,"",IF(K102=5,"",IF(K102=6,"",IF(K102=7,"",IF(K102=8,"",IF(K102=9,L61,IF(AND(K102=10,L62=0),L61-L60,IF(AND(K102=10,L62&gt;0,L62&lt;L60,L70&gt;=N69,L71&lt;=N69),L61,IF(AND(K102=10,L62&gt;0,L62&lt;L60,L70&lt;N69),L61+L62-L60,IF(AND(K102=10,L62&gt;0,L62=L60),L61,IF(K102=11,"",IF(K102=12,L61,IF(K102=13,L61+L62-L60,IF(K102=14,"",IF(K102=15,"",IF(K102=16,L61,IF(AND(K102=17,L70&gt;N70),L61,IF(AND(K102=17,N70&gt;L70),L62-L60,IF(AND(K102=17,N70=L70),"",IF(K102=18,"",IF(K102=19,L61,IF(K102=20,"",IF(K102=21,L61,IF(K102=22,L61,IF(K102=23,L61,""))))))))))))))))))))))))))))</f>
        <v/>
      </c>
      <c r="N11" s="257">
        <f>IF(K102=1,L60,IF(K102=2,"",IF(K102=3,L60+L61+L62,IF(AND(K102=4,L69=N69,L60&gt;=L61),L60+L61,IF(AND(K102=4,L69&lt;&gt;N69,L60=L61),L60,IF(AND(K102=4,L60&gt;L61,L69&gt;N69),L60,IF(AND(K102=4,L60&gt;L61,L69&lt;N69),L61,IF(K102=5,L60,IF(K102=6,L60,IF(K102=7,"",IF(K102=8,"",IF(K102=9,L60,IF(K102=10,L60,IF(AND(K102=11,L62=0),L60,IF(AND(K102=11,L62&gt;0,L62&lt;L60,N70&gt;=L69,N71&lt;=L69),L62,IF(AND(K102=11,L62&gt;0,L62&lt;L60,N70&lt;L69),L60,IF(AND(K102=11,L62&gt;0,L62=L60),L60,IF(K102=12,L60,IF(K102=13,L60,IF(K102=14,"",IF(K102=15,"",IF(K102=16,L60,IF(K102=17,L60,IF(K102=18,L60,IF(K102=19,L60,IF(K102=20,L60,IF(K102=21,L60,IF(K102=22,L60,IF(K102=23,L60,"")))))))))))))))))))))))))))))</f>
        <v>10</v>
      </c>
      <c r="O11" s="184"/>
      <c r="P11" s="81"/>
      <c r="Q11" s="81"/>
      <c r="R11" s="81"/>
    </row>
    <row r="12" spans="2:22" x14ac:dyDescent="0.25">
      <c r="D12" s="81"/>
      <c r="E12" s="81"/>
      <c r="F12" s="81"/>
      <c r="G12" s="81"/>
      <c r="H12" s="81"/>
      <c r="I12" s="252"/>
      <c r="J12" s="258"/>
      <c r="K12" s="258"/>
      <c r="L12" s="258"/>
      <c r="M12" s="258"/>
      <c r="N12" s="258"/>
      <c r="O12" s="184"/>
      <c r="P12" s="81"/>
      <c r="Q12" s="81"/>
      <c r="R12" s="81"/>
    </row>
    <row r="13" spans="2:22" x14ac:dyDescent="0.25">
      <c r="D13" s="81"/>
      <c r="E13" s="81"/>
      <c r="F13" s="81"/>
      <c r="G13" s="81"/>
      <c r="H13" s="81"/>
      <c r="I13" s="252"/>
      <c r="J13" s="258"/>
      <c r="K13" s="258"/>
      <c r="L13" s="258"/>
      <c r="M13" s="258"/>
      <c r="N13" s="258"/>
      <c r="O13" s="184"/>
      <c r="P13" s="81"/>
      <c r="Q13" s="81"/>
      <c r="R13" s="81"/>
    </row>
    <row r="14" spans="2:22" x14ac:dyDescent="0.25">
      <c r="D14" s="81"/>
      <c r="E14" s="81"/>
      <c r="F14" s="81"/>
      <c r="G14" s="81"/>
      <c r="H14" s="81"/>
      <c r="I14" s="252"/>
      <c r="J14" s="259"/>
      <c r="K14" s="259"/>
      <c r="L14" s="259"/>
      <c r="M14" s="259"/>
      <c r="N14" s="259"/>
      <c r="O14" s="184"/>
      <c r="P14" s="81"/>
      <c r="Q14" s="81"/>
      <c r="R14" s="81"/>
    </row>
    <row r="15" spans="2:22" x14ac:dyDescent="0.25">
      <c r="D15" s="81"/>
      <c r="E15" s="81"/>
      <c r="F15" s="81"/>
      <c r="G15" s="81"/>
      <c r="H15" s="81"/>
      <c r="I15" s="252" t="s">
        <v>181</v>
      </c>
      <c r="J15" s="254">
        <f>IF(OR(K102=2,K102=4,K102=7,K102=8,K102=10,K102=11,K102=13,K102=14,K102=15,K102=16,K102=17,K102=18,K102=19,K102=20,K102=21,K102=22,K102=23),N69,IF(K102=1,L69,IF(OR(K102=3,K102=6,K102=12),M72,IF(K102=5,L70,IF(K102=9,L71,"")))))</f>
        <v>2.1392621695606677</v>
      </c>
      <c r="K15" s="254">
        <f>IF(OR(K102=11,K102=14,K102=15,K102=17,K102=18,K102=20,K102=21,K102=22,K102=23),N70,IF(K102=1,L69,IF(OR(K102=2,K102=4,K102=7,K102=8),N69,IF(OR(K102=3,K102=6,K102=12,K102=13,K102=19),M72,IF(OR(K102=5,K102=10),L70,IF(OR(K102=9,K102=16),L71,""))))))</f>
        <v>2.1392621695606677</v>
      </c>
      <c r="L15" s="254">
        <f>IF(K102=1,L69,IF(AND(K102=4,L69&gt;=N69),L69,IF(K102=2,N69,IF(AND(K102=4,N69&gt;L69),N69,IF(OR(K102=3,K102=6,K102=8,K102=12,K102=13,K102=15,K102=19,K102=20,K102=23),M72,IF(OR(K102=5,K102=10),L70,IF(AND(K102=17,L70&gt;N70),L70,IF(AND(K102=17,N70&gt;=L70),N70,IF(OR(K102=7,K102=11),N70,IF(OR(K102=9,K102=16,K102=21),L71,IF(OR(K102=14,K102=18,K102=22),N71,"")))))))))))</f>
        <v>2.1392621695606677</v>
      </c>
      <c r="M15" s="254">
        <f>IF(OR(K102=9,K102=10,K102=12,K102=16,K102=17,K102=19,K102=21,K102=22,K102=23),L70,IF(K102=2,N69,IF(OR(K102=3,K102=8,K102=13,K102=15,K102=20),M72,IF(OR(K102=1,K102=4,K102=5,K102=6),L69,IF(OR(K102=7,K102=11),N70,IF(OR(K102=14,K102=18),N71,""))))))</f>
        <v>2.1392621695606677</v>
      </c>
      <c r="N15" s="254">
        <f>IF(OR(K102=1,K102=4,K102=5,K102=6,K102=9,K102=10,K102=11,K102=12,K102=13,K102=16,K102=17,K102=18,K102=19,K102=20,K102=21,K102=22,K102=23),L69,IF(K102=2,N69,IF(OR(K102=3,K102=8,K102=15),M72,IF(K102=7,N70,IF(K102=14,N71,"")))))</f>
        <v>2.1392621695606677</v>
      </c>
      <c r="O15" s="188"/>
      <c r="P15" s="81"/>
      <c r="Q15" s="81"/>
      <c r="R15" s="81"/>
    </row>
    <row r="16" spans="2:22" x14ac:dyDescent="0.25">
      <c r="D16" s="81"/>
      <c r="E16" s="81"/>
      <c r="F16" s="81"/>
      <c r="G16" s="81"/>
      <c r="H16" s="81"/>
      <c r="I16" s="252"/>
      <c r="J16" s="254"/>
      <c r="K16" s="254"/>
      <c r="L16" s="254"/>
      <c r="M16" s="254"/>
      <c r="N16" s="254"/>
      <c r="O16" s="188"/>
      <c r="P16" s="81"/>
      <c r="Q16" s="81"/>
      <c r="R16" s="81"/>
    </row>
    <row r="17" spans="4:21" x14ac:dyDescent="0.25">
      <c r="D17" s="81"/>
      <c r="E17" s="81"/>
      <c r="F17" s="81"/>
      <c r="G17" s="81"/>
      <c r="H17" s="81"/>
      <c r="I17" s="252"/>
      <c r="J17" s="254"/>
      <c r="K17" s="254"/>
      <c r="L17" s="254"/>
      <c r="M17" s="254"/>
      <c r="N17" s="254"/>
      <c r="O17" s="188"/>
      <c r="P17" s="81"/>
      <c r="Q17" s="81"/>
      <c r="R17" s="81"/>
    </row>
    <row r="18" spans="4:21" x14ac:dyDescent="0.25">
      <c r="D18" s="81"/>
      <c r="E18" s="81"/>
      <c r="F18" s="81"/>
      <c r="G18" s="81"/>
      <c r="H18" s="81"/>
      <c r="I18" s="253"/>
      <c r="J18" s="254"/>
      <c r="K18" s="254"/>
      <c r="L18" s="254"/>
      <c r="M18" s="254"/>
      <c r="N18" s="254"/>
      <c r="O18" s="193"/>
      <c r="P18" s="81"/>
      <c r="Q18" s="81"/>
      <c r="R18" s="81"/>
    </row>
    <row r="19" spans="4:21" ht="15.75" thickBot="1" x14ac:dyDescent="0.3">
      <c r="D19" s="81"/>
      <c r="E19" s="81"/>
      <c r="F19" s="182"/>
      <c r="G19" s="181" t="s">
        <v>180</v>
      </c>
      <c r="H19" s="256" t="s">
        <v>181</v>
      </c>
      <c r="I19" s="256"/>
      <c r="J19" s="254"/>
      <c r="K19" s="254"/>
      <c r="L19" s="255"/>
      <c r="M19" s="255"/>
      <c r="N19" s="255"/>
      <c r="O19" s="270" t="s">
        <v>181</v>
      </c>
      <c r="P19" s="270"/>
      <c r="Q19" s="180" t="s">
        <v>180</v>
      </c>
      <c r="R19" s="81"/>
    </row>
    <row r="20" spans="4:21" ht="15.75" thickTop="1" x14ac:dyDescent="0.25">
      <c r="D20" s="81"/>
      <c r="E20" s="244" t="str">
        <f>"Wysokość  ze = "&amp;TEXT('Obliczenia wiatr I'!C46,"####0,0##")&amp;" m"</f>
        <v>Wysokość  ze = 25,0 m</v>
      </c>
      <c r="F20" s="260" t="str">
        <f>TEXT(K60+K61+K62,"####0,0##")&amp;" m"</f>
        <v>28,0 m</v>
      </c>
      <c r="G20" s="262">
        <f>IF(F102=1,K60,IF(F102=2,"",IF(F102=3,K60+K61+K62,IF(AND(F102=4,K69=M69,K60&gt;=K61),K60+K61,IF(AND(F102=4,K69&lt;&gt;M69,K60=K61),K60,IF(AND(F102=4,K60&gt;K61,K69&gt;M69),K60,IF(AND(F102=4,K60&gt;K61,K69&lt;M69),K61,IF(F102=5,K60,IF(F102=6,K60,IF(F102=7,"",IF(F102=8,"",IF(F102=9,K60,IF(F102=10,K60,IF(AND(F102=11,K62=0),K60,IF(AND(F102=11,K62&gt;0,K62&lt;K60,M70&gt;=K69,M71&lt;=K69),K62,IF(AND(F102=11,K62&gt;0,K62&lt;K60,M70&lt;K69),K60,IF(AND(F102=11,K62&gt;0,K62=K60),K60,IF(F102=12,K60,IF(F102=13,K60,IF(F102=14,"",IF(F102=15,"",IF(F102=16,K60,IF(F102=17,K60,IF(F102=18,K60,IF(F102=19,K60,IF(F102=20,K60,IF(F102=21,K60,IF(F102=22,K60,IF(F102=23,K60,"")))))))))))))))))))))))))))))</f>
        <v>2</v>
      </c>
      <c r="H20" s="263">
        <f>IF(OR(F102=1,F102=4,F102=5,F102=6,F102=9,F102=10,F102=11,F102=12,F102=13,F102=16,F102=17,F102=18,F102=19,F102=20,F102=21,F102=22,F102=23),K69,IF(F102=2,M69,IF(OR(F102=3,F102=8,F102=15),L72,IF(F102=7,M70,IF(F102=14,M71,"")))))</f>
        <v>2.1392621695606677</v>
      </c>
      <c r="I20" s="263"/>
      <c r="J20" s="74"/>
      <c r="K20" s="75"/>
      <c r="L20" s="87" t="s">
        <v>98</v>
      </c>
      <c r="M20" s="75"/>
      <c r="N20" s="76"/>
      <c r="O20" s="264">
        <f>IF(OR(P102=1,P102=4,P102=5,P102=6,P102=9,P102=10,P102=11,P102=12,P102=13,P102=16,P102=17,P102=18,P102=19,P102=20,P102=21,P102=22,P102=23),K69,IF(P102=2,M69,IF(OR(P102=3,P102=8,P102=15),N72,IF(P102=7,M70,IF(P102=14,M71,"")))))</f>
        <v>2.1392621695606677</v>
      </c>
      <c r="P20" s="263"/>
      <c r="Q20" s="262">
        <f>IF(P102=1,K60,IF(P102=2,"",IF(P102=3,K60+K61+K62,IF(AND(P102=4,K69=M69,K60&gt;=K61),K60+K61,IF(AND(P102=4,K69&lt;&gt;M69,K60=K61),K60,IF(AND(P102=4,K60&gt;K61,K69&gt;M69),K60,IF(AND(P102=4,K60&gt;K61,K69&lt;M69),K61,IF(P102=5,K60,IF(P102=6,K60,IF(P102=7,"",IF(P102=8,"",IF(P102=9,K60,IF(P102=10,K60,IF(AND(P102=11,K62=0),K60,IF(AND(P102=11,K62&gt;0,K62&lt;K60,M70&gt;=K69,M71&lt;=K69),K62,IF(AND(P102=11,K62&gt;0,K62&lt;K60,M70&lt;K69),K60,IF(AND(P102=11,K62&gt;0,K62=K60),K60,IF(P102=12,K60,IF(P102=13,K60,IF(P102=14,"",IF(P102=15,"",IF(P102=16,K60,IF(P102=17,K60,IF(P102=18,K60,IF(P102=19,K60,IF(P102=20,K60,IF(P102=21,K60,IF(P102=22,K60,IF(P102=23,K60,"")))))))))))))))))))))))))))))</f>
        <v>2</v>
      </c>
      <c r="R20" s="244" t="str">
        <f>"Wysokość  ze = "&amp;TEXT('Obliczenia wiatr I'!C46,"####0,0##")&amp;" m"</f>
        <v>Wysokość  ze = 25,0 m</v>
      </c>
    </row>
    <row r="21" spans="4:21" x14ac:dyDescent="0.25">
      <c r="D21" s="81"/>
      <c r="E21" s="244"/>
      <c r="F21" s="260"/>
      <c r="G21" s="262"/>
      <c r="H21" s="263"/>
      <c r="I21" s="263"/>
      <c r="J21" s="271"/>
      <c r="K21" s="89"/>
      <c r="L21" s="77"/>
      <c r="M21" s="78"/>
      <c r="N21" s="79"/>
      <c r="O21" s="264"/>
      <c r="P21" s="263"/>
      <c r="Q21" s="262"/>
      <c r="R21" s="244"/>
    </row>
    <row r="22" spans="4:21" x14ac:dyDescent="0.25">
      <c r="D22" s="81"/>
      <c r="E22" s="244"/>
      <c r="F22" s="260"/>
      <c r="G22" s="262"/>
      <c r="H22" s="263"/>
      <c r="I22" s="263"/>
      <c r="J22" s="271"/>
      <c r="K22" s="89"/>
      <c r="L22" s="77"/>
      <c r="M22" s="78"/>
      <c r="N22" s="79"/>
      <c r="O22" s="264"/>
      <c r="P22" s="263"/>
      <c r="Q22" s="262"/>
      <c r="R22" s="244"/>
    </row>
    <row r="23" spans="4:21" x14ac:dyDescent="0.25">
      <c r="D23" s="81"/>
      <c r="E23" s="244"/>
      <c r="F23" s="260"/>
      <c r="G23" s="262"/>
      <c r="H23" s="263"/>
      <c r="I23" s="263"/>
      <c r="J23" s="80"/>
      <c r="K23" s="89"/>
      <c r="L23" s="77"/>
      <c r="M23" s="78"/>
      <c r="N23" s="79"/>
      <c r="O23" s="264"/>
      <c r="P23" s="263"/>
      <c r="Q23" s="262"/>
      <c r="R23" s="244"/>
    </row>
    <row r="24" spans="4:21" x14ac:dyDescent="0.25">
      <c r="D24" s="81"/>
      <c r="E24" s="244"/>
      <c r="F24" s="260"/>
      <c r="G24" s="262">
        <f>IF(F102=1,"",IF(F102=2,"",IF(F102=3,"",IF(F102=4,"",IF(F102=5,"",IF(F102=6,"",IF(F102=7,"",IF(F102=8,"",IF(F102=9,K61,IF(AND(F102=10,K62=0),K61-K60,IF(AND(F102=10,K62&gt;0,K62&lt;K60,K70&gt;=M69,K71&lt;=M69),K61,IF(AND(F102=10,K62&gt;0,K62&lt;K60,K70&lt;M69),K61+K62-K60,IF(AND(F102=10,K62&gt;0,K62=K60),K61,IF(F102=11,"",IF(F102=12,K61,IF(F102=13,K61+K62-K60,IF(F102=14,"",IF(F102=15,"",IF(F102=16,K61,IF(AND(F102=17,K70&gt;M70),K61,IF(AND(F102=17,M70&gt;K70),K62-K60,IF(AND(F102=17,M70=K70),"",IF(F102=18,"",IF(F102=19,K61,IF(F102=20,"",IF(F102=21,K61,IF(F102=22,K61,IF(F102=23,K61,""))))))))))))))))))))))))))))</f>
        <v>8</v>
      </c>
      <c r="H24" s="263">
        <f>IF(OR(F102=9,F102=10,F102=12,F102=16,F102=17,F102=19,F102=21,F102=22,F102=23),K70,IF(F102=2,M69,IF(OR(F102=3,F102=8,F102=13,F102=15,F102=20),L72,IF(OR(F102=1,F102=4,F102=5,F102=6),K69,IF(OR(F102=7,F102=11),M70,IF(OR(F102=14,F102=18),M71,""))))))</f>
        <v>1.6808488475119534</v>
      </c>
      <c r="I24" s="263"/>
      <c r="J24" s="80"/>
      <c r="K24" s="89"/>
      <c r="L24" s="77"/>
      <c r="M24" s="78"/>
      <c r="N24" s="79"/>
      <c r="O24" s="264">
        <f>IF(OR(P102=9,P102=10,P102=12,P102=16,P102=17,P102=19,P102=21,P102=22,P102=23),K70,IF(P102=2,M69,IF(OR(P102=3,P102=8,P102=13,P102=15,P102=20),N72,IF(OR(P102=1,P102=4,P102=5,P102=6),K69,IF(OR(P102=7,P102=11),M70,IF(OR(P102=14,P102=18),M71,""))))))</f>
        <v>1.6808488475119534</v>
      </c>
      <c r="P24" s="263"/>
      <c r="Q24" s="262">
        <f>IF(P102=1,"",IF(P102=2,"",IF(P102=3,"",IF(P102=4,"",IF(P102=5,"",IF(P102=6,"",IF(P102=7,"",IF(P102=8,"",IF(P102=9,K61,IF(AND(P102=10,K62=0),K61-K60,IF(AND(P102=10,K62&gt;0,K62&lt;K60,K70&gt;=M69,K71&lt;=M69),K61,IF(AND(P102=10,K62&gt;0,K62&lt;K60,K70&lt;M69),K61+K62-K60,IF(AND(P102=10,K62&gt;0,K62=K60),K61,IF(P102=11,"",IF(P102=12,K61,IF(P102=13,K61+K62-K60,IF(P102=14,"",IF(P102=15,"",IF(P102=16,K61,IF(AND(P102=17,K70&gt;M70),K61,IF(AND(P102=17,M70&gt;K70),K62-K60,IF(AND(P102=17,M70=K70),"",IF(P102=18,"",IF(P102=19,K61,IF(P102=20,"",IF(P102=21,K61,IF(P102=22,K61,IF(P102=23,K61,""))))))))))))))))))))))))))))</f>
        <v>8</v>
      </c>
      <c r="R24" s="244"/>
    </row>
    <row r="25" spans="4:21" x14ac:dyDescent="0.25">
      <c r="D25" s="81"/>
      <c r="E25" s="244"/>
      <c r="F25" s="260"/>
      <c r="G25" s="262"/>
      <c r="H25" s="263"/>
      <c r="I25" s="263"/>
      <c r="J25" s="271"/>
      <c r="K25" s="89"/>
      <c r="L25" s="77"/>
      <c r="M25" s="78"/>
      <c r="N25" s="79"/>
      <c r="O25" s="264"/>
      <c r="P25" s="263"/>
      <c r="Q25" s="262"/>
      <c r="R25" s="244"/>
      <c r="U25" s="81"/>
    </row>
    <row r="26" spans="4:21" x14ac:dyDescent="0.25">
      <c r="D26" s="81"/>
      <c r="E26" s="244"/>
      <c r="F26" s="260"/>
      <c r="G26" s="262"/>
      <c r="H26" s="263"/>
      <c r="I26" s="263"/>
      <c r="J26" s="271"/>
      <c r="K26" s="89"/>
      <c r="L26" s="77"/>
      <c r="M26" s="78"/>
      <c r="N26" s="79"/>
      <c r="O26" s="264"/>
      <c r="P26" s="263"/>
      <c r="Q26" s="262"/>
      <c r="R26" s="244"/>
      <c r="U26" s="81"/>
    </row>
    <row r="27" spans="4:21" x14ac:dyDescent="0.25">
      <c r="D27" s="81"/>
      <c r="E27" s="244"/>
      <c r="F27" s="260"/>
      <c r="G27" s="262"/>
      <c r="H27" s="263"/>
      <c r="I27" s="263"/>
      <c r="J27" s="80"/>
      <c r="K27" s="89"/>
      <c r="L27" s="77"/>
      <c r="M27" s="78"/>
      <c r="N27" s="79"/>
      <c r="O27" s="264"/>
      <c r="P27" s="263"/>
      <c r="Q27" s="262"/>
      <c r="R27" s="244"/>
      <c r="U27" s="81"/>
    </row>
    <row r="28" spans="4:21" x14ac:dyDescent="0.25">
      <c r="D28" s="81"/>
      <c r="E28" s="244"/>
      <c r="F28" s="260"/>
      <c r="G28" s="262">
        <f>IF(F102=1,"",IF(F102=2,"",IF(F102=3,"",IF(F102=4,"",IF(F102=5,K61,IF(F102=6,K61+K62,IF(F102=7,K61,IF(F102=8,K61+K62,IF(F102=9,K62,IF(F102=10,"",IF(F102=11,"",IF(F102=12,K62,IF(F102=13,"",IF(F102=14,K62,IF(F102=15,K62,IF(F102=16,K62-K60,IF(F102=17,"",IF(F102=18,K62-K60,IF(F102=19,K62-K60,IF(F102=20,K62-K60,IF(F102=21,K62-(K60+K61),IF(F102=22,K62-(K60+K61),IF(F102=23,K62-(K60+K61),"")))))))))))))))))))))))</f>
        <v>8</v>
      </c>
      <c r="H28" s="263">
        <f>IF(F102=1,K69,IF(AND(F102=4,K69&gt;=M69),K69,IF(F102=2,M69,IF(AND(F102=4,M69&gt;K69),M69,IF(OR(F102=3,F102=6,F102=8,F102=12,F102=13,F102=15,F102=19,F102=20,F102=23),L72,IF(OR(F102=5,F102=10),K70,IF(AND(F102=17,K70&gt;M70),K70,IF(AND(F102=17,M70&gt;=K70),M70,IF(OR(F102=7,F102=11),M70,IF(OR(F102=9,F102=16,F102=21),K71,IF(OR(F102=14,F102=18,F102=22),M71,"")))))))))))</f>
        <v>0.87862553392670284</v>
      </c>
      <c r="I28" s="263"/>
      <c r="J28" s="80"/>
      <c r="K28" s="89"/>
      <c r="L28" s="77"/>
      <c r="M28" s="78"/>
      <c r="N28" s="79"/>
      <c r="O28" s="264">
        <f>IF(P102=1,K69,IF(AND(P102=4,K69&gt;=M69),K69,IF(P102=2,M69,IF(AND(P102=4,M69&gt;K69),M69,IF(OR(P102=3,P102=6,P102=8,P102=12,P102=13,P102=15,P102=19,P102=20,P102=23),N72,IF(OR(P102=5,P102=10),K70,IF(AND(P102=17,K70&gt;M70),K70,IF(AND(P102=17,M70&gt;=K70),M70,IF(OR(P102=7,P102=11),M70,IF(OR(P102=9,P102=16,P102=21),K71,IF(OR(P102=14,P102=18,P102=22),M71,"")))))))))))</f>
        <v>0.87862553392670284</v>
      </c>
      <c r="P28" s="263"/>
      <c r="Q28" s="262">
        <f>IF(P102=1,"",IF(P102=2,"",IF(P102=3,"",IF(P102=4,"",IF(P102=5,K61,IF(P102=6,K61+K62,IF(P102=7,K61,IF(P102=8,K61+K62,IF(P102=9,K62,IF(P102=10,"",IF(P102=11,"",IF(P102=12,K62,IF(P102=13,"",IF(P102=14,K62,IF(P102=15,K62,IF(P102=16,K62-K60,IF(P102=17,"",IF(P102=18,K62-K60,IF(P102=19,K62-K60,IF(P102=20,K62-K60,IF(P102=21,K62-(K60+K61),IF(P102=22,K62-(K60+K61),IF(P102=23,K62-(K60+K61),"")))))))))))))))))))))))</f>
        <v>8</v>
      </c>
      <c r="R28" s="244"/>
      <c r="U28" s="81"/>
    </row>
    <row r="29" spans="4:21" x14ac:dyDescent="0.25">
      <c r="D29" s="81"/>
      <c r="E29" s="244"/>
      <c r="F29" s="260"/>
      <c r="G29" s="262"/>
      <c r="H29" s="263"/>
      <c r="I29" s="263"/>
      <c r="J29" s="265" t="s">
        <v>97</v>
      </c>
      <c r="K29" s="89"/>
      <c r="L29" s="77"/>
      <c r="M29" s="78"/>
      <c r="N29" s="266" t="s">
        <v>99</v>
      </c>
      <c r="O29" s="264"/>
      <c r="P29" s="263"/>
      <c r="Q29" s="262"/>
      <c r="R29" s="244"/>
      <c r="U29" s="81"/>
    </row>
    <row r="30" spans="4:21" x14ac:dyDescent="0.25">
      <c r="D30" s="81"/>
      <c r="E30" s="244"/>
      <c r="F30" s="260"/>
      <c r="G30" s="262"/>
      <c r="H30" s="263"/>
      <c r="I30" s="263"/>
      <c r="J30" s="265"/>
      <c r="K30" s="89"/>
      <c r="L30" s="77"/>
      <c r="M30" s="78"/>
      <c r="N30" s="266"/>
      <c r="O30" s="264"/>
      <c r="P30" s="263"/>
      <c r="Q30" s="262"/>
      <c r="R30" s="244"/>
      <c r="U30" s="81"/>
    </row>
    <row r="31" spans="4:21" x14ac:dyDescent="0.25">
      <c r="D31" s="81"/>
      <c r="E31" s="244"/>
      <c r="F31" s="260"/>
      <c r="G31" s="262"/>
      <c r="H31" s="263"/>
      <c r="I31" s="263"/>
      <c r="J31" s="82"/>
      <c r="K31" s="89"/>
      <c r="L31" s="77"/>
      <c r="M31" s="78"/>
      <c r="N31" s="79"/>
      <c r="O31" s="264"/>
      <c r="P31" s="263"/>
      <c r="Q31" s="262"/>
      <c r="R31" s="244"/>
      <c r="U31" s="81"/>
    </row>
    <row r="32" spans="4:21" x14ac:dyDescent="0.25">
      <c r="D32" s="81"/>
      <c r="E32" s="244"/>
      <c r="F32" s="260"/>
      <c r="G32" s="262">
        <f>IF(F102=1,"",IF(F102=2,"",IF(F102=3,"",IF(F102=4,"",IF(F102=5,"",IF(F102=6,"",IF(F102=7,"",IF(F102=8,"",IF(F102=9,"",IF(F102=10,"",IF(AND(F102=11,K62=0),K61-K60,IF(AND(F102=11,K62&gt;0,K62&lt;K60,M70&gt;=K69,M71&lt;=K69),K61,IF(AND(F102=11,K62&gt;0,K62&lt;K60,M70&lt;K69),K61+K62-K60,IF(AND(F102=11,K62&gt;0,K62=K60),K61,IF(F102=12,"",IF(F102=13,"",IF(F102=14,K61,IF(F102=15,K61,IF(F102=16,"",IF(AND(F102=17,K70&gt;M70),K62-K60,IF(AND(F102=17,M70&gt;K70),K61,IF(AND(F102=17,M70=K70),K61+K62-K60,IF(F102=18,K61,IF(F102=19,"",IF(F102=20,K61,IF(F102=21,K61,IF(F102=22,K61,IF(F102=23,K61,""))))))))))))))))))))))))))))</f>
        <v>8</v>
      </c>
      <c r="H32" s="263">
        <f>IF(OR(F102=11,F102=14,F102=15,F102=17,F102=18,F102=20,F102=21,F102=22,F102=23),M70,IF(F102=1,K69,IF(OR(F102=2,F102=4,F102=7,F102=8),M69,IF(OR(F102=3,F102=6,F102=12,F102=13,F102=19),L72,IF(OR(F102=5,F102=10),K70,IF(OR(F102=9,F102=16),K71,""))))))</f>
        <v>1.6808488475119534</v>
      </c>
      <c r="I32" s="263"/>
      <c r="J32" s="80"/>
      <c r="K32" s="89"/>
      <c r="L32" s="77"/>
      <c r="M32" s="78"/>
      <c r="N32" s="79"/>
      <c r="O32" s="264">
        <f>IF(OR(P102=11,P102=14,P102=15,P102=17,P102=18,P102=20,P102=21,P102=22,P102=23),M70,IF(P102=1,K69,IF(OR(P102=2,P102=4,P102=7,P102=8),M69,IF(OR(P102=3,P102=6,P102=12,P102=13,P102=19),N72,IF(OR(P102=5,P102=10),K70,IF(OR(P102=9,P102=16),K71,""))))))</f>
        <v>1.6808488475119534</v>
      </c>
      <c r="P32" s="263"/>
      <c r="Q32" s="262">
        <f>IF(P102=1,"",IF(P102=2,"",IF(P102=3,"",IF(P102=4,"",IF(P102=5,"",IF(P102=6,"",IF(P102=7,"",IF(P102=8,"",IF(P102=9,"",IF(P102=10,"",IF(AND(P102=11,K62=0),K61-K60,IF(AND(P102=11,K62&gt;0,K62&lt;K60,M70&gt;=K69,M71&lt;=K69),K61,IF(AND(P102=11,K62&gt;0,K62&lt;K60,M70&lt;K69),K61+K62-K60,IF(AND(P102=11,K62&gt;0,K62=K60),K61,IF(P102=12,"",IF(P102=13,"",IF(P102=14,K61,IF(P102=15,K61,IF(P102=16,"",IF(AND(P102=17,K70&gt;M70),K62-K60,IF(AND(P102=17,M70&gt;K70),K61,IF(AND(P102=17,M70=K70),K61+K62-K60,IF(P102=18,K61,IF(P102=19,"",IF(P102=20,K61,IF(P102=21,K61,IF(P102=22,K61,IF(P102=23,K61,""))))))))))))))))))))))))))))</f>
        <v>8</v>
      </c>
      <c r="R32" s="244"/>
    </row>
    <row r="33" spans="4:18" x14ac:dyDescent="0.25">
      <c r="D33" s="81"/>
      <c r="E33" s="244"/>
      <c r="F33" s="260"/>
      <c r="G33" s="262"/>
      <c r="H33" s="263"/>
      <c r="I33" s="263"/>
      <c r="J33" s="271"/>
      <c r="K33" s="89"/>
      <c r="L33" s="77"/>
      <c r="M33" s="78"/>
      <c r="N33" s="79"/>
      <c r="O33" s="264"/>
      <c r="P33" s="263"/>
      <c r="Q33" s="262"/>
      <c r="R33" s="244"/>
    </row>
    <row r="34" spans="4:18" x14ac:dyDescent="0.25">
      <c r="D34" s="81"/>
      <c r="E34" s="244"/>
      <c r="F34" s="260"/>
      <c r="G34" s="262"/>
      <c r="H34" s="263"/>
      <c r="I34" s="263"/>
      <c r="J34" s="271"/>
      <c r="K34" s="89"/>
      <c r="L34" s="77"/>
      <c r="M34" s="78"/>
      <c r="N34" s="79"/>
      <c r="O34" s="264"/>
      <c r="P34" s="263"/>
      <c r="Q34" s="262"/>
      <c r="R34" s="244"/>
    </row>
    <row r="35" spans="4:18" x14ac:dyDescent="0.25">
      <c r="D35" s="81"/>
      <c r="E35" s="244"/>
      <c r="F35" s="260"/>
      <c r="G35" s="262"/>
      <c r="H35" s="263"/>
      <c r="I35" s="263"/>
      <c r="J35" s="80"/>
      <c r="K35" s="89"/>
      <c r="L35" s="77"/>
      <c r="M35" s="78"/>
      <c r="N35" s="79"/>
      <c r="O35" s="264"/>
      <c r="P35" s="263"/>
      <c r="Q35" s="262"/>
      <c r="R35" s="244"/>
    </row>
    <row r="36" spans="4:18" x14ac:dyDescent="0.25">
      <c r="D36" s="81"/>
      <c r="E36" s="244"/>
      <c r="F36" s="260"/>
      <c r="G36" s="262">
        <f>IF(F102=1,"",IF(F102=2,K60,IF(F102=3,"",IF(AND(F102=4,K69=M69,K60&gt;=K61),"",IF(AND(F102=4,K69&lt;&gt;M69,K60=K61),K61,IF(AND(F102=4,K60&gt;K61,K69&gt;M69),K61,IF(AND(F102=4,K60&gt;K61,K69&lt;M69),K60,IF(F102=5,"",IF(F102=6,"",IF(F102=7,K60,IF(F102=8,K60,IF(F102=9,"",IF(AND(F102=10,K62=0),K60,IF(AND(F102=10,K62&gt;0,K62&lt;K60,K70&gt;=M69,K71&lt;=M69),K62,IF(AND(F102=10,K62&gt;0,K62&lt;K60,K70&lt;M69),K60,IF(AND(F102=10,K62&gt;0,K62=K60),K60,IF(F102=11,K60,IF(F102=12,"",IF(F102=13,K60,IF(F102=14,K60,IF(F102=15,K60,IF(F102=16,K60,IF(F102=17,K60,IF(F102=18,K60,IF(F102=19,K60,IF(F102=20,K60,IF(F102=21,K60,IF(F102=22,K60,IF(F102=23,K60,"")))))))))))))))))))))))))))))</f>
        <v>2</v>
      </c>
      <c r="H36" s="263">
        <f>IF(OR(F102=2,F102=4,F102=7,F102=8,F102=10,F102=11,F102=13,F102=14,F102=15,F102=16,F102=17,F102=18,F102=19,F102=20,F102=21,F102=22,F102=23),M69,IF(F102=1,K69,IF(OR(F102=3,F102=6,F102=12),L72,IF(F102=5,K70,IF(F102=9,K71,"")))))</f>
        <v>2.1392621695606677</v>
      </c>
      <c r="I36" s="263"/>
      <c r="J36" s="80"/>
      <c r="K36" s="89"/>
      <c r="L36" s="77"/>
      <c r="M36" s="78"/>
      <c r="N36" s="79"/>
      <c r="O36" s="264">
        <f>IF(OR(P102=2,P102=4,P102=7,P102=8,P102=10,P102=11,P102=13,P102=14,P102=15,P102=16,P102=17,P102=18,P102=19,P102=20,P102=21,P102=22,P102=23),M69,IF(P102=1,K69,IF(OR(P102=3,P102=6,P102=12),N72,IF(P102=5,K70,IF(P102=9,K71,"")))))</f>
        <v>2.1392621695606677</v>
      </c>
      <c r="P36" s="263"/>
      <c r="Q36" s="262">
        <f>IF(P102=1,"",IF(P102=2,K60,IF(P102=3,"",IF(AND(P102=4,K69=M69,K60&gt;=K61),"",IF(AND(P102=4,K69&lt;&gt;M69,K60=K61),K61,IF(AND(P102=4,K60&gt;K61,K69&gt;M69),K61,IF(AND(P102=4,K60&gt;K61,K69&lt;M69),K60,IF(P102=5,"",IF(P102=6,"",IF(P102=7,K60,IF(P102=8,K60,IF(P102=9,"",IF(AND(P102=10,K62=0),K60,IF(AND(P102=10,K62&gt;0,K62&lt;K60,K70&gt;=M69,K71&lt;=M69),K62,IF(AND(P102=10,K62&gt;0,K62&lt;K60,K70&lt;M69),K60,IF(AND(P102=10,K62&gt;0,K62=K60),K60,IF(P102=11,K60,IF(P102=12,"",IF(P102=13,K60,IF(P102=14,K60,IF(P102=15,K60,IF(P102=16,K60,IF(P102=17,K60,IF(P102=18,K60,IF(P102=19,K60,IF(P102=20,K60,IF(P102=21,K60,IF(P102=22,K60,IF(P102=23,K60,"")))))))))))))))))))))))))))))</f>
        <v>2</v>
      </c>
      <c r="R36" s="244"/>
    </row>
    <row r="37" spans="4:18" x14ac:dyDescent="0.25">
      <c r="D37" s="81"/>
      <c r="E37" s="244"/>
      <c r="F37" s="260"/>
      <c r="G37" s="262"/>
      <c r="H37" s="263"/>
      <c r="I37" s="263"/>
      <c r="J37" s="271"/>
      <c r="K37" s="89"/>
      <c r="L37" s="77"/>
      <c r="M37" s="78"/>
      <c r="N37" s="79"/>
      <c r="O37" s="264"/>
      <c r="P37" s="263"/>
      <c r="Q37" s="262"/>
      <c r="R37" s="244"/>
    </row>
    <row r="38" spans="4:18" x14ac:dyDescent="0.25">
      <c r="D38" s="81"/>
      <c r="E38" s="244"/>
      <c r="F38" s="260"/>
      <c r="G38" s="262"/>
      <c r="H38" s="263"/>
      <c r="I38" s="263"/>
      <c r="J38" s="271"/>
      <c r="K38" s="89"/>
      <c r="L38" s="77"/>
      <c r="M38" s="78"/>
      <c r="N38" s="79"/>
      <c r="O38" s="264"/>
      <c r="P38" s="263"/>
      <c r="Q38" s="262"/>
      <c r="R38" s="244"/>
    </row>
    <row r="39" spans="4:18" ht="15.75" thickBot="1" x14ac:dyDescent="0.3">
      <c r="D39" s="81"/>
      <c r="E39" s="244"/>
      <c r="F39" s="260"/>
      <c r="G39" s="267"/>
      <c r="H39" s="263"/>
      <c r="I39" s="263"/>
      <c r="J39" s="83"/>
      <c r="K39" s="84"/>
      <c r="L39" s="88" t="s">
        <v>100</v>
      </c>
      <c r="M39" s="84"/>
      <c r="N39" s="85"/>
      <c r="O39" s="264"/>
      <c r="P39" s="263"/>
      <c r="Q39" s="267"/>
      <c r="R39" s="244"/>
    </row>
    <row r="40" spans="4:18" ht="15.75" thickTop="1" x14ac:dyDescent="0.25">
      <c r="D40" s="81"/>
      <c r="E40" s="185"/>
      <c r="F40" s="185"/>
      <c r="G40" s="185"/>
      <c r="H40" s="185"/>
      <c r="I40" s="252" t="s">
        <v>181</v>
      </c>
      <c r="J40" s="254">
        <f>IF(OR(U102=2,U102=4,U102=7,U102=8,U102=10,U102=11,U102=13,U102=14,U102=15,U102=16,U102=17,U102=18,U102=19,U102=20,U102=21,U102=22,U102=23),N69,IF(U102=1,L69,IF(OR(U102=3,U102=6,U102=12),K72,IF(U102=5,L70,IF(U102=9,L71,"")))))</f>
        <v>2.1392621695606677</v>
      </c>
      <c r="K40" s="254">
        <f>IF(OR(U102=11,U102=14,U102=15,U102=17,U102=18,U102=20,U102=21,U102=22,U102=23),N70,IF(U102=1,L69,IF(OR(U102=2,U102=4,U102=7,U102=8),N69,IF(OR(U102=3,U102=6,U102=12,U102=13,U102=19),K72,IF(OR(U102=5,U102=10),L70,IF(OR(U102=9,U102=16),L71,""))))))</f>
        <v>2.1392621695606677</v>
      </c>
      <c r="L40" s="272">
        <f>IF(U102=1,L69,IF(AND(U102=4,L69&gt;=N69),L69,IF(U102=2,N69,IF(AND(U102=4,N69&gt;L69),N69,IF(OR(U102=3,U102=6,U102=8,U102=12,U102=13,U102=15,U102=19,U102=20,U102=23),K72,IF(OR(U102=5,U102=10),L70,IF(AND(U102=17,L70&gt;N70),L70,IF(AND(U102=17,N70&gt;=L70),N70,IF(OR(U102=7,U102=11),N70,IF(OR(U102=9,U102=16,U102=21),L71,IF(OR(U102=14,U102=18,U102=22),N71,"")))))))))))</f>
        <v>2.1392621695606677</v>
      </c>
      <c r="M40" s="272">
        <f>IF(OR(U102=9,U102=10,U102=12,U102=16,U102=17,U102=19,U102=21,U102=22,U102=23),L70,IF(U102=2,N69,IF(OR(U102=3,U102=8,U102=13,U102=15,U102=20),K72,IF(OR(U102=1,U102=4,U102=5,U102=6),L69,IF(OR(U102=7,U102=11),N70,IF(OR(U102=14,U102=18),N71,""))))))</f>
        <v>2.1392621695606677</v>
      </c>
      <c r="N40" s="272">
        <f>IF(OR(U102=1,U102=4,U102=5,U102=6,U102=9,U102=10,U102=11,U102=12,U102=13,U102=16,U102=17,U102=18,U102=19,U102=20,U102=21,U102=22,U102=23),L69,IF(U102=2,N69,IF(OR(U102=3,U102=8,U102=15),K72,IF(U102=7,N70,IF(U102=14,N71,"")))))</f>
        <v>2.1392621695606677</v>
      </c>
      <c r="O40" s="187"/>
      <c r="P40" s="185"/>
      <c r="Q40" s="185"/>
      <c r="R40" s="185"/>
    </row>
    <row r="41" spans="4:18" x14ac:dyDescent="0.25">
      <c r="D41" s="81"/>
      <c r="E41" s="81"/>
      <c r="F41" s="81"/>
      <c r="G41" s="81"/>
      <c r="H41" s="81"/>
      <c r="I41" s="252"/>
      <c r="J41" s="254"/>
      <c r="K41" s="254"/>
      <c r="L41" s="273"/>
      <c r="M41" s="254"/>
      <c r="N41" s="254"/>
      <c r="O41" s="188"/>
      <c r="P41" s="81"/>
      <c r="Q41" s="81"/>
      <c r="R41" s="81"/>
    </row>
    <row r="42" spans="4:18" x14ac:dyDescent="0.25">
      <c r="D42" s="81"/>
      <c r="E42" s="81"/>
      <c r="F42" s="81"/>
      <c r="G42" s="81"/>
      <c r="H42" s="81"/>
      <c r="I42" s="252"/>
      <c r="J42" s="254"/>
      <c r="K42" s="254"/>
      <c r="L42" s="273"/>
      <c r="M42" s="254"/>
      <c r="N42" s="254"/>
      <c r="O42" s="188"/>
      <c r="P42" s="81"/>
      <c r="Q42" s="81"/>
      <c r="R42" s="81"/>
    </row>
    <row r="43" spans="4:18" x14ac:dyDescent="0.25">
      <c r="D43" s="81"/>
      <c r="E43" s="81"/>
      <c r="F43" s="81"/>
      <c r="G43" s="81"/>
      <c r="H43" s="81"/>
      <c r="I43" s="252"/>
      <c r="J43" s="254"/>
      <c r="K43" s="254"/>
      <c r="L43" s="273"/>
      <c r="M43" s="254"/>
      <c r="N43" s="254"/>
      <c r="O43" s="188"/>
      <c r="P43" s="81"/>
      <c r="Q43" s="81"/>
      <c r="R43" s="81"/>
    </row>
    <row r="44" spans="4:18" x14ac:dyDescent="0.25">
      <c r="D44" s="81"/>
      <c r="E44" s="81"/>
      <c r="F44" s="81"/>
      <c r="G44" s="81"/>
      <c r="H44" s="81"/>
      <c r="I44" s="252"/>
      <c r="J44" s="254"/>
      <c r="K44" s="254"/>
      <c r="L44" s="273"/>
      <c r="M44" s="254"/>
      <c r="N44" s="254"/>
      <c r="O44" s="188"/>
      <c r="P44" s="81"/>
      <c r="Q44" s="81"/>
      <c r="R44" s="81"/>
    </row>
    <row r="45" spans="4:18" x14ac:dyDescent="0.25">
      <c r="D45" s="81"/>
      <c r="E45" s="81"/>
      <c r="F45" s="81"/>
      <c r="G45" s="81"/>
      <c r="H45" s="81"/>
      <c r="I45" s="252" t="s">
        <v>180</v>
      </c>
      <c r="J45" s="257" t="str">
        <f>IF(U102=1,"",IF(U102=2,L60,IF(U102=3,"",IF(AND(U102=4,L69=N69,L60&gt;=L61),"",IF(AND(U102=4,L69&lt;&gt;N69,L60=L61),L61,IF(AND(U102=4,L60&gt;L61,L69&gt;N69),L61,IF(AND(U102=4,L60&gt;L61,L69&lt;N69),L60,IF(U102=5,"",IF(U102=6,"",IF(U102=7,L60,IF(U102=8,L60,IF(U102=9,"",IF(AND(U102=10,L62=0),L60,IF(AND(U102=10,L62&gt;0,L62&lt;L60,L70&gt;=N69,L71&lt;=N69),L62,IF(AND(U102=10,L62&gt;0,L62&lt;L60,L70&lt;N69),L60,IF(AND(U102=10,L62&gt;0,L62=L60),L60,IF(U102=11,L60,IF(U102=12,"",IF(U102=13,L60,IF(U102=14,L60,IF(U102=15,L60,IF(U102=16,L60,IF(U102=17,L60,IF(U102=18,L60,IF(U102=19,L60,IF(U102=20,L60,IF(U102=21,L60,IF(U102=22,L60,IF(U102=23,L60,"")))))))))))))))))))))))))))))</f>
        <v/>
      </c>
      <c r="K45" s="257" t="str">
        <f>IF(U102=1,"",IF(U102=2,"",IF(U102=3,"",IF(U102=4,"",IF(U102=5,"",IF(U102=6,"",IF(U102=7,"",IF(U102=8,"",IF(U102=9,"",IF(U102=10,"",IF(AND(U102=11,L62=0),L61-L60,IF(AND(U102=11,L62&gt;0,L62&lt;L60,N70&gt;=L69,N71&lt;=L69),L61,IF(AND(U102=11,L62&gt;0,L62&lt;L60,N70&lt;L69),L61+L62-L60,IF(AND(U102=11,L62&gt;0,L62=L60),L61,IF(U102=12,"",IF(U102=13,"",IF(U102=14,L61,IF(U102=15,L61,IF(U102=16,"",IF(AND(U102=17,L70&gt;N70),L62-L60,IF(AND(U102=17,N70&gt;L70),L61,IF(AND(U102=17,N70=L70),L61+L62-L60,IF(U102=18,L61,IF(U102=19,"",IF(U102=20,L61,IF(U102=21,L61,IF(U102=22,L61,IF(U102=23,L61,""))))))))))))))))))))))))))))</f>
        <v/>
      </c>
      <c r="L45" s="257" t="str">
        <f>IF(U102=1,"",IF(U102=2,"",IF(U102=3,"",IF(U102=4,"",IF(U102=5,L61,IF(U102=6,L61+L62,IF(U102=7,L61,IF(U102=8,L61+L62,IF(U102=9,L62,IF(U102=10,"",IF(U102=11,"",IF(U102=12,L62,IF(U102=13,"",IF(U102=14,L62,IF(U102=15,L62,IF(U102=16,L62-L60,IF(U102=17,"",IF(U102=18,L62-L60,IF(U102=19,L62-L60,IF(U102=20,L62-L60,IF(U102=21,L62-(L60+L61),IF(U102=22,L62-(L60+L61),IF(U102=23,L62-(L60+L61),"")))))))))))))))))))))))</f>
        <v/>
      </c>
      <c r="M45" s="257" t="str">
        <f>IF(U102=1,"",IF(U102=2,"",IF(U102=3,"",IF(U102=4,"",IF(U102=5,"",IF(U102=6,"",IF(U102=7,"",IF(U102=8,"",IF(U102=9,L61,IF(AND(U102=10,L62=0),L61-L60,IF(AND(U102=10,L62&gt;0,L62&lt;L60,L70&gt;=N69,L71&lt;=N69),L61,IF(AND(U102=10,L62&gt;0,L62&lt;L60,L70&lt;N69),L61+L62-L60,IF(AND(U102=10,L62&gt;0,L62=L60),L61,IF(U102=11,"",IF(U102=12,L61,IF(U102=13,L61+L62-L60,IF(U102=14,"",IF(U102=15,"",IF(U102=16,L61,IF(AND(U102=17,L70&gt;N70),L61,IF(AND(U102=17,N70&gt;L70),L62-L60,IF(AND(U102=17,N70=L70),"",IF(U102=18,"",IF(U102=19,L61,IF(U102=20,"",IF(U102=21,L61,IF(U102=22,L61,IF(U102=23,L61,""))))))))))))))))))))))))))))</f>
        <v/>
      </c>
      <c r="N45" s="257">
        <f>IF(U102=1,L60,IF(U102=2,"",IF(U102=3,L60+L61+L62,IF(AND(U102=4,L69=N69,L60&gt;=L61),L60+L61,IF(AND(U102=4,L69&lt;&gt;N69,L60=L61),L60,IF(AND(U102=4,L60&gt;L61,L69&gt;N69),L60,IF(AND(U102=4,L60&gt;L61,L69&lt;N69),L61,IF(U102=5,L60,IF(U102=6,L60,IF(U102=7,"",IF(U102=8,"",IF(U102=9,L60,IF(U102=10,L60,IF(AND(U102=11,L62=0),L60,IF(AND(U102=11,L62&gt;0,L62&lt;L60,N70&gt;=L69,N71&lt;=L69),L62,IF(AND(U102=11,L62&gt;0,L62&lt;L60,N70&lt;L69),L60,IF(AND(U102=11,L62&gt;0,L62=L60),L60,IF(U102=12,L60,IF(U102=13,L60,IF(U102=14,"",IF(U102=15,"",IF(U102=16,L60,IF(U102=17,L60,IF(U102=18,L60,IF(U102=19,L60,IF(U102=20,L60,IF(U102=21,L60,IF(U102=22,L60,IF(U102=23,L60,"")))))))))))))))))))))))))))))</f>
        <v>10</v>
      </c>
      <c r="O45" s="188"/>
      <c r="P45" s="81"/>
      <c r="Q45" s="81"/>
      <c r="R45" s="81"/>
    </row>
    <row r="46" spans="4:18" x14ac:dyDescent="0.25">
      <c r="D46" s="81"/>
      <c r="E46" s="81"/>
      <c r="F46" s="81"/>
      <c r="G46" s="81"/>
      <c r="H46" s="81"/>
      <c r="I46" s="252"/>
      <c r="J46" s="258"/>
      <c r="K46" s="258"/>
      <c r="L46" s="258"/>
      <c r="M46" s="258"/>
      <c r="N46" s="258"/>
      <c r="O46" s="188"/>
      <c r="P46" s="81"/>
      <c r="Q46" s="81"/>
      <c r="R46" s="81"/>
    </row>
    <row r="47" spans="4:18" x14ac:dyDescent="0.25">
      <c r="D47" s="81"/>
      <c r="E47" s="81"/>
      <c r="F47" s="81"/>
      <c r="G47" s="81"/>
      <c r="H47" s="81"/>
      <c r="I47" s="252"/>
      <c r="J47" s="258"/>
      <c r="K47" s="258"/>
      <c r="L47" s="258"/>
      <c r="M47" s="258"/>
      <c r="N47" s="258"/>
      <c r="O47" s="188"/>
      <c r="P47" s="81"/>
      <c r="Q47" s="81"/>
      <c r="R47" s="81"/>
    </row>
    <row r="48" spans="4:18" x14ac:dyDescent="0.25">
      <c r="D48" s="81"/>
      <c r="E48" s="81"/>
      <c r="F48" s="81"/>
      <c r="G48" s="81"/>
      <c r="H48" s="81"/>
      <c r="I48" s="252"/>
      <c r="J48" s="259"/>
      <c r="K48" s="259"/>
      <c r="L48" s="259"/>
      <c r="M48" s="259"/>
      <c r="N48" s="259"/>
      <c r="O48" s="188"/>
      <c r="P48" s="81"/>
      <c r="Q48" s="81"/>
      <c r="R48" s="81"/>
    </row>
    <row r="49" spans="4:21" ht="15" customHeight="1" x14ac:dyDescent="0.25">
      <c r="D49" s="81"/>
      <c r="E49" s="81"/>
      <c r="F49" s="81"/>
      <c r="G49" s="81"/>
      <c r="H49" s="81"/>
      <c r="I49" s="186"/>
      <c r="J49" s="268" t="str">
        <f>TEXT(N60+N61+N62,"####0,0##")&amp;" m"</f>
        <v>10,0 m</v>
      </c>
      <c r="K49" s="269"/>
      <c r="L49" s="269"/>
      <c r="M49" s="269"/>
      <c r="N49" s="269"/>
      <c r="O49" s="189"/>
      <c r="P49" s="81"/>
      <c r="Q49" s="81"/>
      <c r="R49" s="81"/>
    </row>
    <row r="50" spans="4:21" ht="15" customHeight="1" x14ac:dyDescent="0.25">
      <c r="D50" s="81"/>
      <c r="E50" s="81"/>
      <c r="F50" s="81"/>
      <c r="G50" s="81"/>
      <c r="H50" s="81"/>
      <c r="I50" s="186"/>
      <c r="J50" s="268"/>
      <c r="K50" s="269"/>
      <c r="L50" s="269"/>
      <c r="M50" s="269"/>
      <c r="N50" s="269"/>
      <c r="O50" s="189"/>
      <c r="P50" s="81"/>
      <c r="Q50" s="81"/>
      <c r="R50" s="81"/>
    </row>
    <row r="51" spans="4:21" ht="15" customHeight="1" x14ac:dyDescent="0.25">
      <c r="D51" s="81"/>
      <c r="E51" s="81"/>
      <c r="F51" s="81"/>
      <c r="G51" s="81"/>
      <c r="H51" s="81"/>
      <c r="I51" s="186"/>
      <c r="J51" s="268"/>
      <c r="K51" s="269"/>
      <c r="L51" s="269"/>
      <c r="M51" s="269"/>
      <c r="N51" s="269"/>
      <c r="O51" s="189"/>
      <c r="P51" s="81"/>
      <c r="Q51" s="81"/>
      <c r="R51" s="81"/>
    </row>
    <row r="52" spans="4:21" ht="15" customHeight="1" x14ac:dyDescent="0.25">
      <c r="D52" s="81"/>
      <c r="E52" s="81"/>
      <c r="F52" s="81"/>
      <c r="G52" s="81"/>
      <c r="H52" s="81"/>
      <c r="I52" s="186"/>
      <c r="J52" s="242" t="str">
        <f>"Wysokość  ze = "&amp;TEXT('Obliczenia wiatr I'!D46,"####0,0##")&amp;" m"</f>
        <v>Wysokość  ze = 25,0 m</v>
      </c>
      <c r="K52" s="243"/>
      <c r="L52" s="243"/>
      <c r="M52" s="243"/>
      <c r="N52" s="243"/>
      <c r="O52" s="189"/>
      <c r="P52" s="81"/>
      <c r="Q52" s="81"/>
      <c r="R52" s="81"/>
    </row>
    <row r="53" spans="4:21" ht="15" customHeight="1" x14ac:dyDescent="0.25">
      <c r="D53" s="81"/>
      <c r="E53" s="81"/>
      <c r="F53" s="81"/>
      <c r="G53" s="81"/>
      <c r="H53" s="81"/>
      <c r="I53" s="186"/>
      <c r="J53" s="242"/>
      <c r="K53" s="243"/>
      <c r="L53" s="243"/>
      <c r="M53" s="243"/>
      <c r="N53" s="243"/>
      <c r="O53" s="189"/>
      <c r="P53" s="81"/>
      <c r="Q53" s="81"/>
      <c r="R53" s="81"/>
    </row>
    <row r="54" spans="4:21" ht="15" customHeight="1" x14ac:dyDescent="0.25">
      <c r="D54" s="81"/>
      <c r="E54" s="81"/>
      <c r="F54" s="81"/>
      <c r="G54" s="81"/>
      <c r="H54" s="81"/>
      <c r="I54" s="186"/>
      <c r="J54" s="242"/>
      <c r="K54" s="243"/>
      <c r="L54" s="243"/>
      <c r="M54" s="243"/>
      <c r="N54" s="243"/>
      <c r="O54" s="189"/>
      <c r="P54" s="81"/>
      <c r="Q54" s="81"/>
      <c r="R54" s="81"/>
    </row>
    <row r="55" spans="4:21" ht="15" customHeight="1" x14ac:dyDescent="0.25">
      <c r="I55" s="114"/>
      <c r="J55" s="114"/>
      <c r="K55" s="114"/>
      <c r="L55" s="114"/>
      <c r="M55" s="114"/>
      <c r="N55" s="114"/>
      <c r="O55" s="86"/>
    </row>
    <row r="57" spans="4:21" x14ac:dyDescent="0.25">
      <c r="J57" s="249" t="s">
        <v>96</v>
      </c>
      <c r="K57" s="249"/>
      <c r="L57" s="249"/>
      <c r="M57" s="249"/>
      <c r="N57" s="249"/>
    </row>
    <row r="59" spans="4:21" x14ac:dyDescent="0.25">
      <c r="K59" s="13" t="s">
        <v>97</v>
      </c>
      <c r="L59" s="19" t="s">
        <v>98</v>
      </c>
      <c r="M59" s="13" t="s">
        <v>99</v>
      </c>
      <c r="N59" s="13" t="s">
        <v>100</v>
      </c>
    </row>
    <row r="60" spans="4:21" x14ac:dyDescent="0.25">
      <c r="J60" s="13" t="s">
        <v>101</v>
      </c>
      <c r="K60" s="18">
        <f>'Obliczenia wiatr I'!C31</f>
        <v>2</v>
      </c>
      <c r="L60">
        <f>'Obliczenia wiatr I'!D31</f>
        <v>5.6</v>
      </c>
      <c r="M60" s="18">
        <f>'Obliczenia wiatr I'!C31</f>
        <v>2</v>
      </c>
      <c r="N60">
        <f>'Obliczenia wiatr I'!D31</f>
        <v>5.6</v>
      </c>
      <c r="R60" s="16"/>
      <c r="S60" s="16"/>
      <c r="T60" s="16"/>
      <c r="U60" s="16"/>
    </row>
    <row r="61" spans="4:21" x14ac:dyDescent="0.25">
      <c r="J61" s="13" t="s">
        <v>102</v>
      </c>
      <c r="K61" s="18">
        <f>'Obliczenia wiatr I'!C32</f>
        <v>8</v>
      </c>
      <c r="L61">
        <f>'Obliczenia wiatr I'!D32</f>
        <v>4.4000000000000004</v>
      </c>
      <c r="M61" s="18">
        <f>'Obliczenia wiatr I'!C32</f>
        <v>8</v>
      </c>
      <c r="N61">
        <f>'Obliczenia wiatr I'!D32</f>
        <v>4.4000000000000004</v>
      </c>
      <c r="R61" s="16"/>
      <c r="S61" s="16"/>
      <c r="T61" s="16"/>
      <c r="U61" s="16"/>
    </row>
    <row r="62" spans="4:21" x14ac:dyDescent="0.25">
      <c r="J62" s="13" t="s">
        <v>103</v>
      </c>
      <c r="K62" s="18">
        <f>'Obliczenia wiatr I'!C33</f>
        <v>18</v>
      </c>
      <c r="L62" s="18">
        <f>'Obliczenia wiatr I'!D33</f>
        <v>0</v>
      </c>
      <c r="M62" s="18">
        <f>'Obliczenia wiatr I'!C33</f>
        <v>18</v>
      </c>
      <c r="N62" s="18">
        <f>'Obliczenia wiatr I'!D33</f>
        <v>0</v>
      </c>
    </row>
    <row r="63" spans="4:21" x14ac:dyDescent="0.25">
      <c r="J63" s="13"/>
    </row>
    <row r="64" spans="4:21" x14ac:dyDescent="0.25">
      <c r="J64" s="13" t="s">
        <v>104</v>
      </c>
      <c r="K64" s="18">
        <f>'Obliczenia wiatr I'!C25</f>
        <v>10</v>
      </c>
      <c r="L64" s="18">
        <f>'Obliczenia wiatr I'!D25</f>
        <v>28</v>
      </c>
      <c r="M64" s="18">
        <f>'Obliczenia wiatr I'!C25</f>
        <v>10</v>
      </c>
      <c r="N64" s="18">
        <f>'Obliczenia wiatr I'!D25</f>
        <v>28</v>
      </c>
    </row>
    <row r="66" spans="1:21" x14ac:dyDescent="0.25">
      <c r="J66" s="249" t="s">
        <v>105</v>
      </c>
      <c r="K66" s="249"/>
      <c r="L66" s="249"/>
      <c r="M66" s="249"/>
      <c r="N66" s="249"/>
    </row>
    <row r="67" spans="1:21" x14ac:dyDescent="0.25">
      <c r="A67" s="20"/>
      <c r="B67" s="20"/>
      <c r="C67" s="20"/>
      <c r="D67" s="20"/>
      <c r="E67" s="20"/>
      <c r="F67" s="20"/>
      <c r="G67" s="20"/>
      <c r="H67" s="20"/>
      <c r="I67" s="20"/>
      <c r="J67" s="20"/>
      <c r="K67" s="20"/>
      <c r="L67" s="20"/>
      <c r="M67" s="20"/>
      <c r="N67" s="20"/>
      <c r="O67" s="20"/>
      <c r="P67" s="20"/>
      <c r="Q67" s="20"/>
      <c r="R67" s="20"/>
      <c r="S67" s="20"/>
      <c r="T67" s="20"/>
      <c r="U67" s="20"/>
    </row>
    <row r="68" spans="1:21" x14ac:dyDescent="0.25">
      <c r="K68" s="13" t="s">
        <v>80</v>
      </c>
      <c r="L68" s="13" t="s">
        <v>81</v>
      </c>
      <c r="M68" s="13" t="s">
        <v>82</v>
      </c>
      <c r="N68" s="13" t="s">
        <v>83</v>
      </c>
    </row>
    <row r="69" spans="1:21" x14ac:dyDescent="0.25">
      <c r="J69" s="13" t="s">
        <v>106</v>
      </c>
      <c r="K69" s="6">
        <f>'Obliczenia wiatr I'!C90</f>
        <v>2.1392621695606677</v>
      </c>
      <c r="L69" s="6">
        <f>'Obliczenia wiatr I'!D90</f>
        <v>2.1392621695606677</v>
      </c>
      <c r="M69" s="6">
        <f>'Obliczenia wiatr I'!C90</f>
        <v>2.1392621695606677</v>
      </c>
      <c r="N69" s="6">
        <f>'Obliczenia wiatr I'!D90</f>
        <v>2.1392621695606677</v>
      </c>
    </row>
    <row r="70" spans="1:21" x14ac:dyDescent="0.25">
      <c r="J70" s="13" t="s">
        <v>107</v>
      </c>
      <c r="K70" s="6">
        <f>'Obliczenia wiatr I'!C91</f>
        <v>1.6808488475119534</v>
      </c>
      <c r="L70" s="6">
        <f>'Obliczenia wiatr I'!D91</f>
        <v>1.6808488475119534</v>
      </c>
      <c r="M70" s="6">
        <f>'Obliczenia wiatr I'!C91</f>
        <v>1.6808488475119534</v>
      </c>
      <c r="N70" s="6">
        <f>'Obliczenia wiatr I'!D91</f>
        <v>1.6808488475119534</v>
      </c>
    </row>
    <row r="71" spans="1:21" x14ac:dyDescent="0.25">
      <c r="J71" s="13" t="s">
        <v>108</v>
      </c>
      <c r="K71" s="6">
        <f>'Obliczenia wiatr I'!C92</f>
        <v>0.76402220341452431</v>
      </c>
      <c r="L71" s="6">
        <f>'Obliczenia wiatr I'!D92</f>
        <v>0</v>
      </c>
      <c r="M71" s="6">
        <f>'Obliczenia wiatr I'!C92</f>
        <v>0.76402220341452431</v>
      </c>
      <c r="N71" s="6">
        <f>'Obliczenia wiatr I'!D92</f>
        <v>0</v>
      </c>
    </row>
    <row r="72" spans="1:21" x14ac:dyDescent="0.25">
      <c r="J72" s="13" t="s">
        <v>109</v>
      </c>
      <c r="K72" s="6">
        <f>'Obliczenia wiatr I'!C93</f>
        <v>0.72036379179029142</v>
      </c>
      <c r="L72" s="6">
        <f>'Obliczenia wiatr I'!D93</f>
        <v>0.87862553392670284</v>
      </c>
      <c r="M72" s="6">
        <f>'Obliczenia wiatr I'!C93</f>
        <v>0.72036379179029142</v>
      </c>
      <c r="N72" s="6">
        <f>'Obliczenia wiatr I'!D93</f>
        <v>0.87862553392670284</v>
      </c>
    </row>
    <row r="74" spans="1:21" x14ac:dyDescent="0.25">
      <c r="C74" s="250" t="s">
        <v>110</v>
      </c>
      <c r="D74" s="250"/>
      <c r="E74" s="250"/>
      <c r="F74" s="250"/>
      <c r="G74" s="250"/>
      <c r="H74" s="250"/>
      <c r="I74" s="250"/>
      <c r="J74" s="250"/>
      <c r="K74" s="250"/>
      <c r="L74" s="250"/>
      <c r="M74" s="250"/>
      <c r="N74" s="250"/>
      <c r="O74" s="250"/>
      <c r="P74" s="250"/>
      <c r="Q74" s="250"/>
      <c r="R74" s="250"/>
      <c r="S74" s="250"/>
      <c r="T74" s="250"/>
      <c r="U74" s="250"/>
    </row>
    <row r="76" spans="1:21" x14ac:dyDescent="0.25">
      <c r="C76" s="250" t="s">
        <v>111</v>
      </c>
      <c r="D76" s="250"/>
      <c r="E76" s="250"/>
      <c r="F76" s="250"/>
      <c r="H76" s="250" t="s">
        <v>112</v>
      </c>
      <c r="I76" s="250"/>
      <c r="J76" s="250"/>
      <c r="K76" s="250"/>
      <c r="M76" s="250" t="s">
        <v>113</v>
      </c>
      <c r="N76" s="250"/>
      <c r="O76" s="250"/>
      <c r="P76" s="250"/>
      <c r="Q76" s="16"/>
      <c r="R76" s="250" t="s">
        <v>114</v>
      </c>
      <c r="S76" s="250"/>
      <c r="T76" s="250"/>
      <c r="U76" s="250"/>
    </row>
    <row r="77" spans="1:21" x14ac:dyDescent="0.25">
      <c r="C77" s="69"/>
      <c r="D77" s="69"/>
      <c r="E77" s="69"/>
      <c r="F77" s="69"/>
      <c r="H77" s="69"/>
      <c r="I77" s="69"/>
      <c r="J77" s="69"/>
      <c r="K77" s="69"/>
      <c r="M77" s="69"/>
      <c r="N77" s="69"/>
      <c r="O77" s="69"/>
      <c r="P77" s="69"/>
      <c r="Q77" s="16"/>
      <c r="R77" s="69"/>
      <c r="S77" s="69"/>
      <c r="T77" s="69"/>
      <c r="U77" s="69"/>
    </row>
    <row r="78" spans="1:21" x14ac:dyDescent="0.25">
      <c r="C78" s="71">
        <v>1</v>
      </c>
      <c r="D78" s="261" t="s">
        <v>115</v>
      </c>
      <c r="E78" s="261"/>
      <c r="F78">
        <f>IF(AND(K60&gt;0,K61=0,K62=0,K69&gt;=M69,L72&lt;=K69),1,0)</f>
        <v>0</v>
      </c>
      <c r="H78" s="71">
        <v>1</v>
      </c>
      <c r="I78" s="261" t="s">
        <v>116</v>
      </c>
      <c r="J78" s="261"/>
      <c r="K78">
        <f>IF(AND(L60&gt;0,L61=0,L62=0,L69&gt;=N69,M72&lt;=L69),1,0)</f>
        <v>0</v>
      </c>
      <c r="M78" s="71">
        <v>1</v>
      </c>
      <c r="N78" s="261" t="s">
        <v>115</v>
      </c>
      <c r="O78" s="261"/>
      <c r="P78">
        <f>IF(AND(K60&gt;0,K61=0,K62=0,K69&gt;=M69,N72&lt;=K69),1,0)</f>
        <v>0</v>
      </c>
      <c r="R78" s="71">
        <v>1</v>
      </c>
      <c r="S78" s="261" t="s">
        <v>116</v>
      </c>
      <c r="T78" s="261"/>
      <c r="U78">
        <f>IF(AND(L60&gt;0,L61=0,L62=0,L69&gt;=N69,K72&lt;=L69),1,0)</f>
        <v>0</v>
      </c>
    </row>
    <row r="79" spans="1:21" x14ac:dyDescent="0.25">
      <c r="C79" s="71">
        <v>2</v>
      </c>
      <c r="D79" s="261" t="s">
        <v>117</v>
      </c>
      <c r="E79" s="261"/>
      <c r="F79">
        <f>IF(AND(K60&gt;0,K61=0,K62=0,M69&gt;K69,L72&lt;=M69),2,0)</f>
        <v>0</v>
      </c>
      <c r="H79" s="71">
        <v>2</v>
      </c>
      <c r="I79" s="261" t="s">
        <v>118</v>
      </c>
      <c r="J79" s="261"/>
      <c r="K79">
        <f>IF(AND(L60&gt;0,L61=0,L62=0,N69&gt;L69,M72&lt;=N69),2,0)</f>
        <v>0</v>
      </c>
      <c r="M79" s="71">
        <v>2</v>
      </c>
      <c r="N79" s="261" t="s">
        <v>117</v>
      </c>
      <c r="O79" s="261"/>
      <c r="P79">
        <f>IF(AND(K60&gt;0,K61=0,K62=0,M69&gt;K69,N72&lt;=M69),2,0)</f>
        <v>0</v>
      </c>
      <c r="R79" s="71">
        <v>2</v>
      </c>
      <c r="S79" s="261" t="s">
        <v>118</v>
      </c>
      <c r="T79" s="261"/>
      <c r="U79">
        <f>IF(AND(L60&gt;0,L61=0,L62=0,N69&gt;L69,K72&lt;=N69),2,0)</f>
        <v>0</v>
      </c>
    </row>
    <row r="80" spans="1:21" x14ac:dyDescent="0.25">
      <c r="C80" s="71">
        <v>3</v>
      </c>
      <c r="D80" s="261" t="s">
        <v>119</v>
      </c>
      <c r="E80" s="261"/>
      <c r="F80">
        <f>IF(AND(K60&gt;0,K61&gt;=0,K62&gt;=0,L72&gt;K69,L72&gt;M69),3,0)</f>
        <v>0</v>
      </c>
      <c r="H80" s="71">
        <v>3</v>
      </c>
      <c r="I80" s="261" t="s">
        <v>120</v>
      </c>
      <c r="J80" s="261"/>
      <c r="K80">
        <f>IF(AND(L60&gt;0,L61&gt;=0,L62&gt;=0,M72&gt;L69,M72&gt;N69),3,0)</f>
        <v>0</v>
      </c>
      <c r="M80" s="71">
        <v>3</v>
      </c>
      <c r="N80" s="261" t="s">
        <v>121</v>
      </c>
      <c r="O80" s="261"/>
      <c r="P80">
        <f>IF(AND(K60&gt;0,K61&gt;=0,K62&gt;=0,L72&gt;K69,N72&gt;M69),3,0)</f>
        <v>0</v>
      </c>
      <c r="R80" s="71">
        <v>3</v>
      </c>
      <c r="S80" s="261" t="s">
        <v>122</v>
      </c>
      <c r="T80" s="261"/>
      <c r="U80">
        <f>IF(AND(L60&gt;0,L61&gt;=0,L62&gt;=0,K72&gt;L69,K72&gt;N69),3,0)</f>
        <v>0</v>
      </c>
    </row>
    <row r="81" spans="2:21" x14ac:dyDescent="0.25">
      <c r="B81" s="16"/>
      <c r="C81" s="71">
        <v>4</v>
      </c>
      <c r="D81" s="261" t="s">
        <v>123</v>
      </c>
      <c r="E81" s="261"/>
      <c r="F81">
        <f>IF(AND(K60&gt;0,K61&gt;0,K62=0,K60&gt;=K61,K69&gt;=M70,M69&gt;=K70,L72&lt;=K69,L72&lt;=M69),4,0)</f>
        <v>0</v>
      </c>
      <c r="H81" s="71">
        <v>4</v>
      </c>
      <c r="I81" s="261" t="s">
        <v>124</v>
      </c>
      <c r="J81" s="261"/>
      <c r="K81">
        <f>IF(AND(L60&gt;0,L61&gt;0,L62=0,L60&gt;=L61,L69&gt;=N70,N69&gt;=L70,M72&lt;=L69,M72&lt;=N69),4,0)</f>
        <v>4</v>
      </c>
      <c r="M81" s="71">
        <v>4</v>
      </c>
      <c r="N81" s="261" t="s">
        <v>123</v>
      </c>
      <c r="O81" s="261"/>
      <c r="P81">
        <f>IF(AND(K60&gt;0,K61&gt;0,K62=0,K60&gt;=K61,K69&gt;=M70,M69&gt;=K70,N72&lt;=K69,N72&lt;=M69),4,0)</f>
        <v>0</v>
      </c>
      <c r="R81" s="71">
        <v>4</v>
      </c>
      <c r="S81" s="261" t="s">
        <v>124</v>
      </c>
      <c r="T81" s="261"/>
      <c r="U81">
        <f>IF(AND(L60&gt;0,L61&gt;0,L62=0,L60&gt;=L61,L69&gt;=N70,N69&gt;=L70,K72&lt;=L69,K72&lt;=N69),4,0)</f>
        <v>4</v>
      </c>
    </row>
    <row r="82" spans="2:21" x14ac:dyDescent="0.25">
      <c r="C82" s="71">
        <v>5</v>
      </c>
      <c r="D82" s="261" t="s">
        <v>125</v>
      </c>
      <c r="E82" s="261"/>
      <c r="F82">
        <f>IF(AND(K60&gt;0,K61&gt;0,K62=0,K70&gt;=M69,L72&lt;=K70),5,0)</f>
        <v>0</v>
      </c>
      <c r="H82" s="71">
        <v>5</v>
      </c>
      <c r="I82" s="261" t="s">
        <v>126</v>
      </c>
      <c r="J82" s="261"/>
      <c r="K82">
        <f>IF(AND(L60&gt;0,L61&gt;0,L62=0,L70&gt;=N69,M72&lt;=L70),5,0)</f>
        <v>0</v>
      </c>
      <c r="M82" s="71">
        <v>5</v>
      </c>
      <c r="N82" s="261" t="s">
        <v>125</v>
      </c>
      <c r="O82" s="261"/>
      <c r="P82">
        <f>IF(AND(K60&gt;0,K61&gt;0,K62=0,K70&gt;=M69,N72&lt;=K70),5,0)</f>
        <v>0</v>
      </c>
      <c r="R82" s="71">
        <v>5</v>
      </c>
      <c r="S82" s="261" t="s">
        <v>126</v>
      </c>
      <c r="T82" s="261"/>
      <c r="U82">
        <f>IF(AND(L60&gt;0,L61&gt;0,L62=0,L70&gt;=N69,K72&lt;=L70),5,0)</f>
        <v>0</v>
      </c>
    </row>
    <row r="83" spans="2:21" x14ac:dyDescent="0.25">
      <c r="C83" s="71">
        <v>6</v>
      </c>
      <c r="D83" s="261" t="s">
        <v>127</v>
      </c>
      <c r="E83" s="261"/>
      <c r="F83">
        <f>IF(AND(K60&gt;0,K61&gt;0,K62&gt;=0,L72&lt;K69,L72&gt;K70,L72&gt;M69),6,0)</f>
        <v>0</v>
      </c>
      <c r="H83" s="71">
        <v>6</v>
      </c>
      <c r="I83" s="261" t="s">
        <v>128</v>
      </c>
      <c r="J83" s="261"/>
      <c r="K83">
        <f>IF(AND(L60&gt;0,L61&gt;0,L62=0,M72&lt;L69,M72&gt;L70,M72&gt;N69),6,0)</f>
        <v>0</v>
      </c>
      <c r="M83" s="71">
        <v>6</v>
      </c>
      <c r="N83" s="261" t="s">
        <v>129</v>
      </c>
      <c r="O83" s="261"/>
      <c r="P83">
        <f>IF(AND(K60&gt;0,K61&gt;0,K62&gt;=0,N72&lt;K69,N72&gt;K70,N72&gt;M69),6,0)</f>
        <v>0</v>
      </c>
      <c r="R83" s="71">
        <v>6</v>
      </c>
      <c r="S83" s="261" t="s">
        <v>130</v>
      </c>
      <c r="T83" s="261"/>
      <c r="U83">
        <f>IF(AND(L60&gt;0,L61&gt;0,L62=0,K72&lt;L69,K72&gt;L70,K72&gt;N69),6,0)</f>
        <v>0</v>
      </c>
    </row>
    <row r="84" spans="2:21" x14ac:dyDescent="0.25">
      <c r="C84" s="71">
        <v>7</v>
      </c>
      <c r="D84" s="261" t="s">
        <v>131</v>
      </c>
      <c r="E84" s="261"/>
      <c r="F84">
        <f>IF(AND(K60&gt;0,K61&gt;0,K62=0,M70&gt;=K69,L72&lt;=M70),7,0)</f>
        <v>0</v>
      </c>
      <c r="H84" s="71">
        <v>7</v>
      </c>
      <c r="I84" s="261" t="s">
        <v>132</v>
      </c>
      <c r="J84" s="261"/>
      <c r="K84">
        <f>IF(AND(L60&gt;0,L61&gt;0,L62=0,N70&gt;=L69,M72&lt;=N70),7,0)</f>
        <v>0</v>
      </c>
      <c r="L84" s="16"/>
      <c r="M84" s="71">
        <v>7</v>
      </c>
      <c r="N84" s="261" t="s">
        <v>131</v>
      </c>
      <c r="O84" s="261"/>
      <c r="P84">
        <f>IF(AND(K60&gt;0,K61&gt;0,K62=0,M70&gt;=K69,N72&lt;=M70),7,0)</f>
        <v>0</v>
      </c>
      <c r="R84" s="71">
        <v>7</v>
      </c>
      <c r="S84" s="261" t="s">
        <v>132</v>
      </c>
      <c r="T84" s="261"/>
      <c r="U84">
        <f>IF(AND(L60&gt;0,L61&gt;0,L62=0,N70&gt;=L69,K72&lt;=N70),7,0)</f>
        <v>0</v>
      </c>
    </row>
    <row r="85" spans="2:21" x14ac:dyDescent="0.25">
      <c r="C85" s="71">
        <v>8</v>
      </c>
      <c r="D85" s="261" t="s">
        <v>133</v>
      </c>
      <c r="E85" s="261"/>
      <c r="F85">
        <f>IF(AND(K60&gt;0,K61&gt;0,K62&gt;=0,L72&lt;M69,L72&gt;M70,L72&gt;K69),8,0)</f>
        <v>0</v>
      </c>
      <c r="H85" s="71">
        <v>8</v>
      </c>
      <c r="I85" s="261" t="s">
        <v>134</v>
      </c>
      <c r="J85" s="261"/>
      <c r="K85">
        <f>IF(AND(L60&gt;0,L61&gt;0,L62&gt;=0,M72&lt;N69,M72&gt;N70,M72&gt;L69),8,0)</f>
        <v>0</v>
      </c>
      <c r="M85" s="71">
        <v>8</v>
      </c>
      <c r="N85" s="261" t="s">
        <v>135</v>
      </c>
      <c r="O85" s="261"/>
      <c r="P85">
        <f>IF(AND(K60&gt;0,K61&gt;0,K62&gt;=0,N72&lt;M69,N72&gt;M70,N72&gt;K69),8,0)</f>
        <v>0</v>
      </c>
      <c r="R85" s="71">
        <v>8</v>
      </c>
      <c r="S85" s="261" t="s">
        <v>136</v>
      </c>
      <c r="T85" s="261"/>
      <c r="U85">
        <f>IF(AND(L60&gt;0,L61&gt;0,L62&gt;=0,K72&lt;N69,K72&gt;N70,K72&gt;L69),8,0)</f>
        <v>0</v>
      </c>
    </row>
    <row r="86" spans="2:21" x14ac:dyDescent="0.25">
      <c r="C86" s="71">
        <v>9</v>
      </c>
      <c r="D86" s="261" t="s">
        <v>137</v>
      </c>
      <c r="E86" s="261"/>
      <c r="F86">
        <f>IF(AND(K60&gt;0,K61&gt;0,K62&gt;0,K71&gt;=M69,L72&lt;=K71),9,0)</f>
        <v>0</v>
      </c>
      <c r="H86" s="71">
        <v>9</v>
      </c>
      <c r="I86" s="261" t="s">
        <v>138</v>
      </c>
      <c r="J86" s="261"/>
      <c r="K86">
        <f>IF(AND(L60&gt;0,L61&gt;0,L62&gt;0,L71&gt;=N69,M72&lt;=L71),9,0)</f>
        <v>0</v>
      </c>
      <c r="M86" s="71">
        <v>9</v>
      </c>
      <c r="N86" s="261" t="s">
        <v>137</v>
      </c>
      <c r="O86" s="261"/>
      <c r="P86">
        <f>IF(AND(K60&gt;0,K61&gt;0,K62&gt;0,K71&gt;=M69,N72&lt;=K71),9,0)</f>
        <v>0</v>
      </c>
      <c r="R86" s="71">
        <v>9</v>
      </c>
      <c r="S86" s="261" t="s">
        <v>138</v>
      </c>
      <c r="T86" s="261"/>
      <c r="U86">
        <f>IF(AND(L60&gt;0,L61&gt;0,L62&gt;0,L71&gt;=N69,K72&lt;=L71),9,0)</f>
        <v>0</v>
      </c>
    </row>
    <row r="87" spans="2:21" x14ac:dyDescent="0.25">
      <c r="B87" s="16"/>
      <c r="C87" s="71">
        <v>10</v>
      </c>
      <c r="D87" s="261" t="s">
        <v>139</v>
      </c>
      <c r="E87" s="261"/>
      <c r="F87">
        <f>IF(AND(K60&gt;0,K61&gt;0,K62&gt;=0,K62&lt;=K60,K60&lt;K61,K70&gt;=M70,IF(K62=0,M69&gt;K70,M69&gt;K71),L72&lt;=K70,L72&lt;=M69),10,0)</f>
        <v>0</v>
      </c>
      <c r="G87" s="16"/>
      <c r="H87" s="71">
        <v>10</v>
      </c>
      <c r="I87" s="261" t="s">
        <v>140</v>
      </c>
      <c r="J87" s="261"/>
      <c r="K87">
        <f>IF(AND(L60&gt;0,L61&gt;0,L62&gt;=0,L62&lt;=L60,L60&lt;L61,L70&gt;=N70,IF(L62=0,N69&gt;L70,N69&gt;L71),M72&lt;=L70,M72&lt;=N69),10,0)</f>
        <v>0</v>
      </c>
      <c r="L87" s="16"/>
      <c r="M87" s="71">
        <v>10</v>
      </c>
      <c r="N87" s="261" t="s">
        <v>139</v>
      </c>
      <c r="O87" s="261"/>
      <c r="P87">
        <f>IF(AND(K60&gt;0,K61&gt;0,K62&gt;=0,K62&lt;=K60,K60&lt;K61,K70&gt;=M70,IF(K62=0,M69&gt;K70,M69&gt;K71),N72&lt;=K70,N72&lt;=M69),10,0)</f>
        <v>0</v>
      </c>
      <c r="Q87" s="16"/>
      <c r="R87" s="71">
        <v>10</v>
      </c>
      <c r="S87" s="261" t="s">
        <v>140</v>
      </c>
      <c r="T87" s="261"/>
      <c r="U87">
        <f>IF(AND(L60&gt;0,L61&gt;0,L62&gt;=0,L62&lt;=L60,L60&lt;L61,L70&gt;=N70,IF(L62=0,N69&gt;L70,N69&gt;L71),K72&lt;=L70,K72&lt;=N69),10,0)</f>
        <v>0</v>
      </c>
    </row>
    <row r="88" spans="2:21" x14ac:dyDescent="0.25">
      <c r="B88" s="16"/>
      <c r="C88" s="71">
        <v>11</v>
      </c>
      <c r="D88" s="261" t="s">
        <v>141</v>
      </c>
      <c r="E88" s="261"/>
      <c r="F88">
        <f>IF(AND(K60&gt;0,K61&gt;0,K62&gt;=0,K62&lt;=K60,K60&lt;K61,M70&gt;K70,IF(K62=0,K69&gt;M70,K69&gt;M71),L72&lt;=M70,L72&lt;=K69),11,0)</f>
        <v>0</v>
      </c>
      <c r="G88" s="16"/>
      <c r="H88" s="71">
        <v>11</v>
      </c>
      <c r="I88" s="261" t="s">
        <v>142</v>
      </c>
      <c r="J88" s="261"/>
      <c r="K88">
        <f>IF(AND(L60&gt;0,L61&gt;0,L62&gt;=0,L62&lt;=L60,L60&lt;L61,N70&gt;L70,IF(L62=0,L69&gt;N70,L69&gt;N71),M72&lt;=N70,M72&lt;=L69),11,0)</f>
        <v>0</v>
      </c>
      <c r="L88" s="16"/>
      <c r="M88" s="71">
        <v>11</v>
      </c>
      <c r="N88" s="261" t="s">
        <v>141</v>
      </c>
      <c r="O88" s="261"/>
      <c r="P88">
        <f>IF(AND(K60&gt;0,K61&gt;0,K62&gt;=0,K62&lt;=K60,K60&lt;K61,M70&gt;K70,IF(K62=0,K69&gt;M70,K69&gt;M71),N72&lt;=M70,N72&lt;=K69),11,0)</f>
        <v>0</v>
      </c>
      <c r="Q88" s="16"/>
      <c r="R88" s="71">
        <v>11</v>
      </c>
      <c r="S88" s="261" t="s">
        <v>142</v>
      </c>
      <c r="T88" s="261"/>
      <c r="U88">
        <f>IF(AND(L60&gt;0,L61&gt;0,L62&gt;=0,L62&lt;=L60,L60&lt;L61,N70&gt;L70,IF(L62=0,L69&gt;N70,L69&gt;N71),K72&lt;=N70,K72&lt;=L69),11,0)</f>
        <v>0</v>
      </c>
    </row>
    <row r="89" spans="2:21" x14ac:dyDescent="0.25">
      <c r="C89" s="71">
        <v>12</v>
      </c>
      <c r="D89" s="261" t="s">
        <v>143</v>
      </c>
      <c r="E89" s="261"/>
      <c r="F89">
        <f>IF(AND(K60&gt;0,K61&gt;0,K62&gt;0,L72&lt;K70,L72&gt;M69,L72&gt;K71),12,0)</f>
        <v>0</v>
      </c>
      <c r="H89" s="71">
        <v>12</v>
      </c>
      <c r="I89" s="261" t="s">
        <v>144</v>
      </c>
      <c r="J89" s="261"/>
      <c r="K89">
        <f>IF(AND(L60&gt;0,L61&gt;0,L62&gt;0,M72&lt;L70,M72&gt;N69,M72&gt;L71),12,0)</f>
        <v>0</v>
      </c>
      <c r="M89" s="71">
        <v>12</v>
      </c>
      <c r="N89" s="261" t="s">
        <v>145</v>
      </c>
      <c r="O89" s="261"/>
      <c r="P89">
        <f>IF(AND(K60&gt;0,K61&gt;0,K62&gt;0,L72&lt;K70,N72&gt;M69,N72&gt;K71),12,0)</f>
        <v>0</v>
      </c>
      <c r="R89" s="71">
        <v>12</v>
      </c>
      <c r="S89" s="261" t="s">
        <v>146</v>
      </c>
      <c r="T89" s="261"/>
      <c r="U89">
        <f>IF(AND(L60&gt;0,L61&gt;0,L62&gt;0,K72&lt;L70,K72&gt;N69,K72&gt;L71),12,0)</f>
        <v>0</v>
      </c>
    </row>
    <row r="90" spans="2:21" x14ac:dyDescent="0.25">
      <c r="C90" s="71">
        <v>13</v>
      </c>
      <c r="D90" s="261" t="s">
        <v>147</v>
      </c>
      <c r="E90" s="261"/>
      <c r="F90">
        <f>IF(AND(K60&gt;0,K60&lt;K61,K62&gt;=0,L72&lt;K69,L72&lt;M69,L72&gt;K70,L72&gt;M70),13,0)</f>
        <v>0</v>
      </c>
      <c r="H90" s="71">
        <v>13</v>
      </c>
      <c r="I90" s="261" t="s">
        <v>148</v>
      </c>
      <c r="J90" s="261"/>
      <c r="K90">
        <f>IF(AND(L60&gt;0,L60&lt;L61,L62&gt;=0,M72&lt;L69,M72&lt;N69,M72&gt;L70,M72&gt;N70),13,0)</f>
        <v>0</v>
      </c>
      <c r="M90" s="71">
        <v>13</v>
      </c>
      <c r="N90" s="261" t="s">
        <v>149</v>
      </c>
      <c r="O90" s="261"/>
      <c r="P90">
        <f>IF(AND(K60&gt;0,K60&lt;K61,K62&gt;=0,N72&lt;K69,N72&lt;M69,N72&gt;K70,N72&gt;M70),13,0)</f>
        <v>0</v>
      </c>
      <c r="R90" s="71">
        <v>13</v>
      </c>
      <c r="S90" s="261" t="s">
        <v>150</v>
      </c>
      <c r="T90" s="261"/>
      <c r="U90">
        <f>IF(AND(L60&gt;0,L60&lt;L61,L62&gt;=0,K72&lt;L69,K72&lt;N69,K72&gt;L70,K72&gt;N70),13,0)</f>
        <v>0</v>
      </c>
    </row>
    <row r="91" spans="2:21" x14ac:dyDescent="0.25">
      <c r="C91" s="71">
        <v>14</v>
      </c>
      <c r="D91" s="261" t="s">
        <v>151</v>
      </c>
      <c r="E91" s="261"/>
      <c r="F91">
        <f>IF(AND(K60&gt;0,K61&gt;0,K62&gt;0,M71&gt;=K69,L72&lt;=M71),14,0)</f>
        <v>0</v>
      </c>
      <c r="H91" s="71">
        <v>14</v>
      </c>
      <c r="I91" s="261" t="s">
        <v>152</v>
      </c>
      <c r="J91" s="261"/>
      <c r="K91">
        <f>IF(AND(L60&gt;0,L61&gt;0,L62&gt;0,N71&gt;=L69,M72&lt;=N71),14,0)</f>
        <v>0</v>
      </c>
      <c r="M91" s="71">
        <v>14</v>
      </c>
      <c r="N91" s="261" t="s">
        <v>151</v>
      </c>
      <c r="O91" s="261"/>
      <c r="P91">
        <f>IF(AND(K60&gt;0,K61&gt;0,K62&gt;0,M71&gt;=K69,N72&lt;=M71),14,0)</f>
        <v>0</v>
      </c>
      <c r="R91" s="71">
        <v>14</v>
      </c>
      <c r="S91" s="261" t="s">
        <v>152</v>
      </c>
      <c r="T91" s="261"/>
      <c r="U91">
        <f>IF(AND(L60&gt;0,L61&gt;0,L62&gt;0,N71&gt;=L69,K72&lt;=N71),14,0)</f>
        <v>0</v>
      </c>
    </row>
    <row r="92" spans="2:21" x14ac:dyDescent="0.25">
      <c r="C92" s="71">
        <v>15</v>
      </c>
      <c r="D92" s="261" t="s">
        <v>153</v>
      </c>
      <c r="E92" s="261"/>
      <c r="F92">
        <f>IF(AND(K60&gt;0,K61&gt;0,K62&gt;0,L72&lt;M70,L72&gt;K69,L72&gt;M71),15,0)</f>
        <v>0</v>
      </c>
      <c r="H92" s="71">
        <v>15</v>
      </c>
      <c r="I92" s="261" t="s">
        <v>154</v>
      </c>
      <c r="J92" s="261"/>
      <c r="K92">
        <f>IF(AND(L60&gt;0,L61&gt;0,L62&gt;0,M72&lt;N70,M72&gt;L69,M72&gt;N71),15,0)</f>
        <v>0</v>
      </c>
      <c r="M92" s="71">
        <v>15</v>
      </c>
      <c r="N92" s="261" t="s">
        <v>155</v>
      </c>
      <c r="O92" s="261"/>
      <c r="P92">
        <f>IF(AND(K60&gt;0,K61&gt;0,K62&gt;0,N72&lt;M70,N72&gt;K69,N72&gt;M71),15,0)</f>
        <v>0</v>
      </c>
      <c r="R92" s="71">
        <v>15</v>
      </c>
      <c r="S92" s="261" t="s">
        <v>156</v>
      </c>
      <c r="T92" s="261"/>
      <c r="U92">
        <f>IF(AND(L60&gt;0,L61&gt;0,L62&gt;0,K72&lt;N70,K72&gt;L69,K72&gt;N71),15,0)</f>
        <v>0</v>
      </c>
    </row>
    <row r="93" spans="2:21" x14ac:dyDescent="0.25">
      <c r="C93" s="71">
        <v>16</v>
      </c>
      <c r="D93" s="261" t="s">
        <v>157</v>
      </c>
      <c r="E93" s="261"/>
      <c r="F93">
        <f>IF(AND(K60&gt;0,K61&gt;0,K62&gt;0,K62&gt;K60,K71&gt;=M70,K71&lt;M69,L72&lt;=K71),16,0)</f>
        <v>0</v>
      </c>
      <c r="H93" s="71">
        <v>16</v>
      </c>
      <c r="I93" s="261" t="s">
        <v>158</v>
      </c>
      <c r="J93" s="261"/>
      <c r="K93">
        <f>IF(AND(L60&gt;0,L61&gt;0,L62&gt;0,L62&gt;L60,L71&gt;=N70,L71&lt;N69,M72&lt;=L71),16,0)</f>
        <v>0</v>
      </c>
      <c r="M93" s="71">
        <v>16</v>
      </c>
      <c r="N93" s="261" t="s">
        <v>157</v>
      </c>
      <c r="O93" s="261"/>
      <c r="P93">
        <f>IF(AND(K60&gt;0,K61&gt;0,K62&gt;0,K62&gt;K60,K71&gt;=M70,K71&lt;M69,N72&lt;=K71),16,0)</f>
        <v>0</v>
      </c>
      <c r="R93" s="71">
        <v>16</v>
      </c>
      <c r="S93" s="261" t="s">
        <v>158</v>
      </c>
      <c r="T93" s="261"/>
      <c r="U93">
        <f>IF(AND(L60&gt;0,L61&gt;0,L62&gt;0,L62&gt;L60,L71&gt;=N70,L71&lt;N69,K72&lt;=L71),16,0)</f>
        <v>0</v>
      </c>
    </row>
    <row r="94" spans="2:21" x14ac:dyDescent="0.25">
      <c r="B94" s="16"/>
      <c r="C94" s="71">
        <v>17</v>
      </c>
      <c r="D94" s="261" t="s">
        <v>159</v>
      </c>
      <c r="E94" s="261"/>
      <c r="F94">
        <f>IF(AND(K60&gt;0,K61&gt;0,K62&gt;0,K62&gt;K60,K62&lt;=K60+K61,K71&lt;M70,M71&lt;K70,L72&lt;=M70,L72&lt;=K70),17,0)</f>
        <v>0</v>
      </c>
      <c r="H94" s="71">
        <v>17</v>
      </c>
      <c r="I94" s="261" t="s">
        <v>160</v>
      </c>
      <c r="J94" s="261"/>
      <c r="K94">
        <f>IF(AND(L60&gt;0,L61&gt;0,L62&gt;0,L62&gt;L60,L62&lt;=L60+L61,L71&lt;N70,N71&lt;L70,M72&lt;=N70,M72&lt;=L70),17,0)</f>
        <v>0</v>
      </c>
      <c r="M94" s="71">
        <v>17</v>
      </c>
      <c r="N94" s="261" t="s">
        <v>159</v>
      </c>
      <c r="O94" s="261"/>
      <c r="P94">
        <f>IF(AND(K60&gt;0,K61&gt;0,K62&gt;0,K62&gt;K60,K62&lt;=K60+K61,K71&lt;M70,M71&lt;K70,N72&lt;=M70,N72&lt;=K70),17,0)</f>
        <v>0</v>
      </c>
      <c r="R94" s="71">
        <v>17</v>
      </c>
      <c r="S94" s="261" t="s">
        <v>160</v>
      </c>
      <c r="T94" s="261"/>
      <c r="U94">
        <f>IF(AND(L60&gt;0,L61&gt;0,L62&gt;0,L62&gt;L60,L62&lt;=L60+L61,L71&lt;N70,N71&lt;L70,K72&lt;=N70,K72&lt;=L70),17,0)</f>
        <v>0</v>
      </c>
    </row>
    <row r="95" spans="2:21" x14ac:dyDescent="0.25">
      <c r="C95" s="71">
        <v>18</v>
      </c>
      <c r="D95" s="261" t="s">
        <v>161</v>
      </c>
      <c r="E95" s="261"/>
      <c r="F95" s="16">
        <f>IF(AND(K60&gt;0,K61&gt;0,K62&gt;0,K62&gt;K60,M71&gt;=K70,M71&lt;K69,L72&lt;=M71),18,0)</f>
        <v>0</v>
      </c>
      <c r="H95" s="71">
        <v>18</v>
      </c>
      <c r="I95" s="261" t="s">
        <v>162</v>
      </c>
      <c r="J95" s="261"/>
      <c r="K95">
        <f>IF(AND(L60&gt;0,L61&gt;0,L62&gt;0,L62&gt;L60,N71&gt;=L70,N71&lt;L69,M72&lt;=N71),18,0)</f>
        <v>0</v>
      </c>
      <c r="M95" s="71">
        <v>18</v>
      </c>
      <c r="N95" s="261" t="s">
        <v>161</v>
      </c>
      <c r="O95" s="261"/>
      <c r="P95">
        <f>IF(AND(K60&gt;0,K61&gt;0,K62&gt;0,K62&gt;K60,M71&gt;=K70,M71&lt;K69,N72&lt;=M71),18,0)</f>
        <v>0</v>
      </c>
      <c r="R95" s="71">
        <v>18</v>
      </c>
      <c r="S95" s="261" t="s">
        <v>162</v>
      </c>
      <c r="T95" s="261"/>
      <c r="U95">
        <f>IF(AND(L60&gt;0,L61&gt;0,L62&gt;0,L62&gt;L60,N71&gt;=L70,N71&lt;L69,K72&lt;=N71),18,0)</f>
        <v>0</v>
      </c>
    </row>
    <row r="96" spans="2:21" x14ac:dyDescent="0.25">
      <c r="C96" s="71">
        <v>19</v>
      </c>
      <c r="D96" s="261" t="s">
        <v>163</v>
      </c>
      <c r="E96" s="261"/>
      <c r="F96">
        <f>IF(AND(K60&gt;0,K61&gt;0,K62&gt;0,K62&gt;K60,L72&lt;M69,L72&gt;K71,L72&gt;M70,L72&lt;K70),19,0)</f>
        <v>0</v>
      </c>
      <c r="H96" s="71">
        <v>19</v>
      </c>
      <c r="I96" s="261" t="s">
        <v>164</v>
      </c>
      <c r="J96" s="261"/>
      <c r="K96">
        <f>IF(AND(L60&gt;0,L61&gt;0,L62&gt;0,L62&gt;L60,M72&lt;N69,M72&gt;L71,M72&gt;N70,M72&lt;L70),19,0)</f>
        <v>0</v>
      </c>
      <c r="M96" s="71">
        <v>19</v>
      </c>
      <c r="N96" s="261" t="s">
        <v>165</v>
      </c>
      <c r="O96" s="261"/>
      <c r="P96">
        <f>IF(AND(K60&gt;0,K61&gt;0,K62&gt;0,K62&gt;K60,N72&lt;M69,N72&gt;K71,N72&gt;M70,N72&lt;K70),19,0)</f>
        <v>0</v>
      </c>
      <c r="R96" s="71">
        <v>19</v>
      </c>
      <c r="S96" s="261" t="s">
        <v>166</v>
      </c>
      <c r="T96" s="261"/>
      <c r="U96">
        <f>IF(AND(L60&gt;0,L61&gt;0,L62&gt;0,L62&gt;L60,K72&lt;N69,K72&gt;L71,K72&gt;N70,K72&lt;L70),19,0)</f>
        <v>0</v>
      </c>
    </row>
    <row r="97" spans="3:21" x14ac:dyDescent="0.25">
      <c r="C97" s="71">
        <v>20</v>
      </c>
      <c r="D97" s="261" t="s">
        <v>167</v>
      </c>
      <c r="E97" s="261"/>
      <c r="F97" s="16">
        <f>IF(AND(K60&gt;0,K61&gt;0,K62&gt;0,K62&gt;K60,L72&lt;K69,L72&gt;M71,L72&gt;K70,L72&lt;M70),20,0)</f>
        <v>0</v>
      </c>
      <c r="H97" s="71">
        <v>20</v>
      </c>
      <c r="I97" s="261" t="s">
        <v>168</v>
      </c>
      <c r="J97" s="261"/>
      <c r="K97">
        <f>IF(AND(L60&gt;0,L61&gt;0,L62&gt;0,L62&gt;L60,M72&lt;L69,M72&gt;N71,M72&gt;L70,M72&lt;N70),20,0)</f>
        <v>0</v>
      </c>
      <c r="M97" s="71">
        <v>20</v>
      </c>
      <c r="N97" s="261" t="s">
        <v>169</v>
      </c>
      <c r="O97" s="261"/>
      <c r="P97">
        <f>IF(AND(K60&gt;0,K61&gt;0,K62&gt;0,K62&gt;K60,N72&lt;K69,N72&gt;M71,N72&gt;K70,N72&lt;M70),20,0)</f>
        <v>0</v>
      </c>
      <c r="R97" s="71">
        <v>20</v>
      </c>
      <c r="S97" s="261" t="s">
        <v>170</v>
      </c>
      <c r="T97" s="261"/>
      <c r="U97">
        <f>IF(AND(L60&gt;0,L61&gt;0,L62&gt;0,L62&gt;L60,K72&lt;L69,K72&gt;N71,K72&gt;L70,K72&lt;N70),20,0)</f>
        <v>0</v>
      </c>
    </row>
    <row r="98" spans="3:21" x14ac:dyDescent="0.25">
      <c r="C98" s="71">
        <v>21</v>
      </c>
      <c r="D98" s="261" t="s">
        <v>171</v>
      </c>
      <c r="E98" s="261"/>
      <c r="F98" s="16">
        <f>IF(AND(K60&gt;0,K61&gt;0,K62&gt;0,K62&gt;K60+K61,M71&lt;K70,K71&lt;M70,K71&gt;=M71,L72&lt;=K71),21,0)</f>
        <v>0</v>
      </c>
      <c r="H98" s="71">
        <v>21</v>
      </c>
      <c r="I98" s="261" t="s">
        <v>172</v>
      </c>
      <c r="J98" s="261"/>
      <c r="K98">
        <f>IF(AND(L60&gt;0,L61&gt;0,L62&gt;0,L62&gt;L60+L61,N71&lt;L70,L71&lt;N70,L71&gt;=N71,M72&lt;=L71),21,0)</f>
        <v>0</v>
      </c>
      <c r="M98" s="71">
        <v>21</v>
      </c>
      <c r="N98" s="261" t="s">
        <v>171</v>
      </c>
      <c r="O98" s="261"/>
      <c r="P98">
        <f>IF(AND(K60&gt;0,K61&gt;0,K62&gt;0,K62&gt;K60+K61,M71&lt;K70,K71&lt;M70,K71&gt;=M71,N72&lt;=K71),21,0)</f>
        <v>0</v>
      </c>
      <c r="R98" s="71">
        <v>21</v>
      </c>
      <c r="S98" s="261" t="s">
        <v>172</v>
      </c>
      <c r="T98" s="261"/>
      <c r="U98">
        <f>IF(AND(L60&gt;0,L61&gt;0,L62&gt;0,L62&gt;L60+L61,N71&lt;L70,L71&lt;N70,L71&gt;=N71,K72&lt;=L71),21,0)</f>
        <v>0</v>
      </c>
    </row>
    <row r="99" spans="3:21" x14ac:dyDescent="0.25">
      <c r="C99" s="71">
        <v>22</v>
      </c>
      <c r="D99" s="261" t="s">
        <v>173</v>
      </c>
      <c r="E99" s="261"/>
      <c r="F99">
        <f>IF(AND(K60&gt;0,K61&gt;0,K62&gt;0,K62&gt;K60+K61,M71&lt;K70,K71&lt;M70,K71&lt;M71,L72&lt;=M71),22,0)</f>
        <v>0</v>
      </c>
      <c r="H99" s="71">
        <v>22</v>
      </c>
      <c r="I99" s="261" t="s">
        <v>174</v>
      </c>
      <c r="J99" s="261"/>
      <c r="K99">
        <f>IF(AND(L60&gt;0,L61&gt;0,L62&gt;0,L62&gt;L60+L61,N71&lt;L70,L71&lt;N70,L71&lt;N71,M72&lt;=N71),22,0)</f>
        <v>0</v>
      </c>
      <c r="M99" s="71">
        <v>22</v>
      </c>
      <c r="N99" s="261" t="s">
        <v>173</v>
      </c>
      <c r="O99" s="261"/>
      <c r="P99">
        <f>IF(AND(K60&gt;0,K61&gt;0,K62&gt;0,K62&gt;K60+K61,M71&lt;K70,K71&lt;M70,K71&lt;M71,N72&lt;=M71),22,0)</f>
        <v>0</v>
      </c>
      <c r="R99" s="71">
        <v>22</v>
      </c>
      <c r="S99" s="261" t="s">
        <v>174</v>
      </c>
      <c r="T99" s="261"/>
      <c r="U99">
        <f>IF(AND(L60&gt;0,L61&gt;0,L62&gt;0,L62&gt;L60+L61,N71&lt;L70,L71&lt;N70,L71&lt;N71,K72&lt;=N71),22,0)</f>
        <v>0</v>
      </c>
    </row>
    <row r="100" spans="3:21" x14ac:dyDescent="0.25">
      <c r="C100" s="71">
        <v>23</v>
      </c>
      <c r="D100" s="261" t="s">
        <v>175</v>
      </c>
      <c r="E100" s="261"/>
      <c r="F100">
        <f>IF(AND(K60&gt;0,K61&gt;0,K62&gt;0,K62&gt;K60+K61,L72&lt;K70,L72&lt;M70,L72&gt;K71,L72&gt;M71),23,0)</f>
        <v>23</v>
      </c>
      <c r="H100" s="71">
        <v>23</v>
      </c>
      <c r="I100" s="261" t="s">
        <v>176</v>
      </c>
      <c r="J100" s="261"/>
      <c r="K100">
        <f>IF(AND(L60&gt;0,L61&gt;0,L62&gt;0,L62&gt;L60+L61,M72&lt;L70,M72&lt;N70,M72&gt;L71,M72&gt;N71),23,0)</f>
        <v>0</v>
      </c>
      <c r="M100" s="71">
        <v>23</v>
      </c>
      <c r="N100" s="261" t="s">
        <v>177</v>
      </c>
      <c r="O100" s="261"/>
      <c r="P100">
        <f>IF(AND(K60&gt;0,K61&gt;0,K62&gt;0,K62&gt;K60+K61,N72&lt;K70,N72&lt;M70,N72&gt;K71,N72&gt;M71),23,0)</f>
        <v>23</v>
      </c>
      <c r="R100" s="71">
        <v>23</v>
      </c>
      <c r="S100" s="261" t="s">
        <v>178</v>
      </c>
      <c r="T100" s="261"/>
      <c r="U100">
        <f>IF(AND(L60&gt;0,L61&gt;0,L62&gt;0,L62&gt;L60+L61,K72&lt;L70,K72&lt;N70,K72&gt;L71,K72&gt;N71),23,0)</f>
        <v>0</v>
      </c>
    </row>
    <row r="102" spans="3:21" x14ac:dyDescent="0.25">
      <c r="C102" s="249" t="s">
        <v>179</v>
      </c>
      <c r="D102" s="249"/>
      <c r="E102" s="249"/>
      <c r="F102" s="73">
        <f>MAX(F78:F100)</f>
        <v>23</v>
      </c>
      <c r="H102" s="249" t="s">
        <v>179</v>
      </c>
      <c r="I102" s="249"/>
      <c r="J102" s="249"/>
      <c r="K102" s="73">
        <f>MAX(K78:K100)</f>
        <v>4</v>
      </c>
      <c r="M102" s="249" t="s">
        <v>179</v>
      </c>
      <c r="N102" s="249"/>
      <c r="O102" s="249"/>
      <c r="P102" s="73">
        <f>MAX(P78:P100)</f>
        <v>23</v>
      </c>
      <c r="R102" s="249" t="s">
        <v>179</v>
      </c>
      <c r="S102" s="249"/>
      <c r="T102" s="249"/>
      <c r="U102" s="73">
        <f>MAX(U78:U100)</f>
        <v>4</v>
      </c>
    </row>
    <row r="104" spans="3:21" x14ac:dyDescent="0.25">
      <c r="C104" s="246" t="s">
        <v>332</v>
      </c>
      <c r="D104" s="246"/>
      <c r="E104" s="246"/>
      <c r="F104" s="246"/>
      <c r="G104" s="246"/>
      <c r="H104" s="246"/>
      <c r="I104" s="246"/>
      <c r="J104" s="246"/>
      <c r="K104" s="246"/>
      <c r="L104" s="246"/>
      <c r="M104" s="246"/>
      <c r="N104" s="246"/>
      <c r="O104" s="246"/>
      <c r="P104" s="246"/>
      <c r="Q104" s="246"/>
      <c r="R104" s="246"/>
      <c r="S104" s="246"/>
      <c r="T104" s="246"/>
      <c r="U104" s="246"/>
    </row>
    <row r="105" spans="3:21" x14ac:dyDescent="0.25">
      <c r="C105" s="246"/>
      <c r="D105" s="246"/>
      <c r="E105" s="246"/>
      <c r="F105" s="246"/>
      <c r="G105" s="246"/>
      <c r="H105" s="246"/>
      <c r="I105" s="246"/>
      <c r="J105" s="246"/>
      <c r="K105" s="246"/>
      <c r="L105" s="246"/>
      <c r="M105" s="246"/>
      <c r="N105" s="246"/>
      <c r="O105" s="246"/>
      <c r="P105" s="246"/>
      <c r="Q105" s="246"/>
      <c r="R105" s="246"/>
      <c r="S105" s="246"/>
      <c r="T105" s="246"/>
      <c r="U105" s="246"/>
    </row>
  </sheetData>
  <sheetProtection algorithmName="SHA-512" hashValue="nVqTjbBfdm70mI1wdchO8HvLH7Gz0z1EDoMQvNl51AQgam4ntPfomkBarsqkZxTSUFo8JBBZIroHAV64+ZN3lw==" saltValue="IorreXa+xV632ZsqNzYqmQ==" spinCount="100000" sheet="1" objects="1" scenarios="1"/>
  <mergeCells count="165">
    <mergeCell ref="H36:I39"/>
    <mergeCell ref="O36:P39"/>
    <mergeCell ref="Q36:Q39"/>
    <mergeCell ref="J37:J38"/>
    <mergeCell ref="I45:I48"/>
    <mergeCell ref="J45:J48"/>
    <mergeCell ref="K45:K48"/>
    <mergeCell ref="L45:L48"/>
    <mergeCell ref="M45:M48"/>
    <mergeCell ref="N45:N48"/>
    <mergeCell ref="I40:I44"/>
    <mergeCell ref="J40:J44"/>
    <mergeCell ref="K40:K44"/>
    <mergeCell ref="L40:L44"/>
    <mergeCell ref="M40:M44"/>
    <mergeCell ref="N40:N44"/>
    <mergeCell ref="H20:I23"/>
    <mergeCell ref="O20:P23"/>
    <mergeCell ref="Q20:Q23"/>
    <mergeCell ref="J21:J22"/>
    <mergeCell ref="G24:G27"/>
    <mergeCell ref="H24:I27"/>
    <mergeCell ref="O24:P27"/>
    <mergeCell ref="Q24:Q27"/>
    <mergeCell ref="J25:J26"/>
    <mergeCell ref="D100:E100"/>
    <mergeCell ref="I100:J100"/>
    <mergeCell ref="N100:O100"/>
    <mergeCell ref="S100:T100"/>
    <mergeCell ref="C102:E102"/>
    <mergeCell ref="H102:J102"/>
    <mergeCell ref="M102:O102"/>
    <mergeCell ref="R102:T102"/>
    <mergeCell ref="D98:E98"/>
    <mergeCell ref="I98:J98"/>
    <mergeCell ref="N98:O98"/>
    <mergeCell ref="S98:T98"/>
    <mergeCell ref="D99:E99"/>
    <mergeCell ref="I99:J99"/>
    <mergeCell ref="N99:O99"/>
    <mergeCell ref="S99:T99"/>
    <mergeCell ref="D96:E96"/>
    <mergeCell ref="I96:J96"/>
    <mergeCell ref="N96:O96"/>
    <mergeCell ref="S96:T96"/>
    <mergeCell ref="D97:E97"/>
    <mergeCell ref="I97:J97"/>
    <mergeCell ref="N97:O97"/>
    <mergeCell ref="S97:T97"/>
    <mergeCell ref="D94:E94"/>
    <mergeCell ref="I94:J94"/>
    <mergeCell ref="N94:O94"/>
    <mergeCell ref="S94:T94"/>
    <mergeCell ref="D95:E95"/>
    <mergeCell ref="I95:J95"/>
    <mergeCell ref="N95:O95"/>
    <mergeCell ref="S95:T95"/>
    <mergeCell ref="D92:E92"/>
    <mergeCell ref="I92:J92"/>
    <mergeCell ref="N92:O92"/>
    <mergeCell ref="S92:T92"/>
    <mergeCell ref="D93:E93"/>
    <mergeCell ref="I93:J93"/>
    <mergeCell ref="N93:O93"/>
    <mergeCell ref="S93:T93"/>
    <mergeCell ref="D90:E90"/>
    <mergeCell ref="I90:J90"/>
    <mergeCell ref="N90:O90"/>
    <mergeCell ref="S90:T90"/>
    <mergeCell ref="D91:E91"/>
    <mergeCell ref="I91:J91"/>
    <mergeCell ref="N91:O91"/>
    <mergeCell ref="S91:T91"/>
    <mergeCell ref="D88:E88"/>
    <mergeCell ref="I88:J88"/>
    <mergeCell ref="N88:O88"/>
    <mergeCell ref="S88:T88"/>
    <mergeCell ref="D89:E89"/>
    <mergeCell ref="I89:J89"/>
    <mergeCell ref="N89:O89"/>
    <mergeCell ref="S89:T89"/>
    <mergeCell ref="D86:E86"/>
    <mergeCell ref="I86:J86"/>
    <mergeCell ref="N86:O86"/>
    <mergeCell ref="S86:T86"/>
    <mergeCell ref="D87:E87"/>
    <mergeCell ref="I87:J87"/>
    <mergeCell ref="N87:O87"/>
    <mergeCell ref="S87:T87"/>
    <mergeCell ref="D84:E84"/>
    <mergeCell ref="I84:J84"/>
    <mergeCell ref="N84:O84"/>
    <mergeCell ref="S84:T84"/>
    <mergeCell ref="D85:E85"/>
    <mergeCell ref="I85:J85"/>
    <mergeCell ref="N85:O85"/>
    <mergeCell ref="S85:T85"/>
    <mergeCell ref="D82:E82"/>
    <mergeCell ref="I82:J82"/>
    <mergeCell ref="N82:O82"/>
    <mergeCell ref="S82:T82"/>
    <mergeCell ref="D83:E83"/>
    <mergeCell ref="I83:J83"/>
    <mergeCell ref="N83:O83"/>
    <mergeCell ref="S83:T83"/>
    <mergeCell ref="D81:E81"/>
    <mergeCell ref="I81:J81"/>
    <mergeCell ref="N81:O81"/>
    <mergeCell ref="S81:T81"/>
    <mergeCell ref="D78:E78"/>
    <mergeCell ref="I78:J78"/>
    <mergeCell ref="N78:O78"/>
    <mergeCell ref="S78:T78"/>
    <mergeCell ref="D79:E79"/>
    <mergeCell ref="I79:J79"/>
    <mergeCell ref="N79:O79"/>
    <mergeCell ref="S79:T79"/>
    <mergeCell ref="K11:K14"/>
    <mergeCell ref="L11:L14"/>
    <mergeCell ref="M11:M14"/>
    <mergeCell ref="N11:N14"/>
    <mergeCell ref="F20:F39"/>
    <mergeCell ref="D80:E80"/>
    <mergeCell ref="I80:J80"/>
    <mergeCell ref="N80:O80"/>
    <mergeCell ref="S80:T80"/>
    <mergeCell ref="G28:G31"/>
    <mergeCell ref="H28:I31"/>
    <mergeCell ref="O28:P31"/>
    <mergeCell ref="Q28:Q31"/>
    <mergeCell ref="J29:J30"/>
    <mergeCell ref="N29:N30"/>
    <mergeCell ref="G36:G39"/>
    <mergeCell ref="J49:N51"/>
    <mergeCell ref="O19:P19"/>
    <mergeCell ref="G32:G35"/>
    <mergeCell ref="H32:I35"/>
    <mergeCell ref="O32:P35"/>
    <mergeCell ref="Q32:Q35"/>
    <mergeCell ref="J33:J34"/>
    <mergeCell ref="G20:G23"/>
    <mergeCell ref="J52:N54"/>
    <mergeCell ref="E20:E39"/>
    <mergeCell ref="R20:R39"/>
    <mergeCell ref="J8:N10"/>
    <mergeCell ref="C104:U105"/>
    <mergeCell ref="B2:V3"/>
    <mergeCell ref="B6:V6"/>
    <mergeCell ref="J57:N57"/>
    <mergeCell ref="J66:N66"/>
    <mergeCell ref="C74:U74"/>
    <mergeCell ref="C76:F76"/>
    <mergeCell ref="H76:K76"/>
    <mergeCell ref="M76:P76"/>
    <mergeCell ref="R76:U76"/>
    <mergeCell ref="B4:V4"/>
    <mergeCell ref="I15:I18"/>
    <mergeCell ref="J15:J19"/>
    <mergeCell ref="K15:K19"/>
    <mergeCell ref="L15:L19"/>
    <mergeCell ref="M15:M19"/>
    <mergeCell ref="N15:N19"/>
    <mergeCell ref="H19:I19"/>
    <mergeCell ref="I11:I14"/>
    <mergeCell ref="J11:J14"/>
  </mergeCells>
  <conditionalFormatting sqref="O20:P39 J41:K44 H20:I39 J16:K19 J15:L15 M15:N19 J40:L40 M40:N44">
    <cfRule type="colorScale" priority="5">
      <colorScale>
        <cfvo type="min"/>
        <cfvo type="max"/>
        <color rgb="FFFFFF00"/>
        <color rgb="FFFF0000"/>
      </colorScale>
    </cfRule>
  </conditionalFormatting>
  <conditionalFormatting sqref="F78:F100">
    <cfRule type="cellIs" dxfId="7" priority="4" operator="greaterThan">
      <formula>0</formula>
    </cfRule>
  </conditionalFormatting>
  <conditionalFormatting sqref="K78:K100">
    <cfRule type="cellIs" dxfId="6" priority="3" operator="greaterThan">
      <formula>0</formula>
    </cfRule>
  </conditionalFormatting>
  <conditionalFormatting sqref="P78:P100">
    <cfRule type="cellIs" dxfId="5" priority="2" operator="greaterThan">
      <formula>0</formula>
    </cfRule>
  </conditionalFormatting>
  <conditionalFormatting sqref="U78:U100">
    <cfRule type="cellIs" dxfId="4" priority="1" operator="greaterThan">
      <formula>0</formula>
    </cfRule>
  </conditionalFormatting>
  <pageMargins left="0.7" right="0.7" top="0.75" bottom="0.75" header="0.3" footer="0.3"/>
  <pageSetup paperSize="9" scale="43" orientation="portrait" horizontalDpi="1200" verticalDpi="1200" r:id="rId1"/>
  <ignoredErrors>
    <ignoredError sqref="L60:L62 L64:M64 L69:L72 M60:M62 M69:M72"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V105"/>
  <sheetViews>
    <sheetView zoomScaleNormal="100" workbookViewId="0">
      <selection activeCell="B2" sqref="B2:V3"/>
    </sheetView>
  </sheetViews>
  <sheetFormatPr defaultRowHeight="15" x14ac:dyDescent="0.25"/>
  <sheetData>
    <row r="2" spans="2:22" x14ac:dyDescent="0.25">
      <c r="B2" s="230" t="s">
        <v>188</v>
      </c>
      <c r="C2" s="230"/>
      <c r="D2" s="230"/>
      <c r="E2" s="230"/>
      <c r="F2" s="230"/>
      <c r="G2" s="230"/>
      <c r="H2" s="230"/>
      <c r="I2" s="230"/>
      <c r="J2" s="230"/>
      <c r="K2" s="230"/>
      <c r="L2" s="230"/>
      <c r="M2" s="230"/>
      <c r="N2" s="230"/>
      <c r="O2" s="230"/>
      <c r="P2" s="230"/>
      <c r="Q2" s="230"/>
      <c r="R2" s="230"/>
      <c r="S2" s="230"/>
      <c r="T2" s="230"/>
      <c r="U2" s="230"/>
      <c r="V2" s="230"/>
    </row>
    <row r="3" spans="2:22" x14ac:dyDescent="0.25">
      <c r="B3" s="230"/>
      <c r="C3" s="230"/>
      <c r="D3" s="230"/>
      <c r="E3" s="230"/>
      <c r="F3" s="230"/>
      <c r="G3" s="230"/>
      <c r="H3" s="230"/>
      <c r="I3" s="230"/>
      <c r="J3" s="230"/>
      <c r="K3" s="230"/>
      <c r="L3" s="230"/>
      <c r="M3" s="230"/>
      <c r="N3" s="230"/>
      <c r="O3" s="230"/>
      <c r="P3" s="230"/>
      <c r="Q3" s="230"/>
      <c r="R3" s="230"/>
      <c r="S3" s="230"/>
      <c r="T3" s="230"/>
      <c r="U3" s="230"/>
      <c r="V3" s="230"/>
    </row>
    <row r="4" spans="2:22" x14ac:dyDescent="0.25">
      <c r="B4" s="251" t="s">
        <v>254</v>
      </c>
      <c r="C4" s="251"/>
      <c r="D4" s="251"/>
      <c r="E4" s="251"/>
      <c r="F4" s="251"/>
      <c r="G4" s="251"/>
      <c r="H4" s="251"/>
      <c r="I4" s="251"/>
      <c r="J4" s="251"/>
      <c r="K4" s="251"/>
      <c r="L4" s="251"/>
      <c r="M4" s="251"/>
      <c r="N4" s="251"/>
      <c r="O4" s="251"/>
      <c r="P4" s="251"/>
      <c r="Q4" s="251"/>
      <c r="R4" s="251"/>
      <c r="S4" s="251"/>
      <c r="T4" s="251"/>
      <c r="U4" s="251"/>
      <c r="V4" s="251"/>
    </row>
    <row r="6" spans="2:22" x14ac:dyDescent="0.25">
      <c r="B6" s="247" t="s">
        <v>95</v>
      </c>
      <c r="C6" s="248"/>
      <c r="D6" s="248"/>
      <c r="E6" s="248"/>
      <c r="F6" s="248"/>
      <c r="G6" s="248"/>
      <c r="H6" s="248"/>
      <c r="I6" s="248"/>
      <c r="J6" s="248"/>
      <c r="K6" s="248"/>
      <c r="L6" s="248"/>
      <c r="M6" s="248"/>
      <c r="N6" s="248"/>
      <c r="O6" s="248"/>
      <c r="P6" s="248"/>
      <c r="Q6" s="248"/>
      <c r="R6" s="248"/>
      <c r="S6" s="248"/>
      <c r="T6" s="248"/>
      <c r="U6" s="248"/>
      <c r="V6" s="248"/>
    </row>
    <row r="7" spans="2:22" x14ac:dyDescent="0.25">
      <c r="B7" s="136"/>
      <c r="C7" s="137"/>
      <c r="D7" s="137"/>
      <c r="E7" s="137"/>
      <c r="F7" s="137"/>
      <c r="G7" s="137"/>
      <c r="H7" s="137"/>
      <c r="I7" s="137"/>
      <c r="J7" s="137"/>
      <c r="K7" s="137"/>
      <c r="L7" s="137"/>
      <c r="M7" s="137"/>
      <c r="N7" s="137"/>
      <c r="O7" s="137"/>
      <c r="P7" s="137"/>
      <c r="Q7" s="137"/>
      <c r="R7" s="137"/>
      <c r="S7" s="137"/>
      <c r="T7" s="137"/>
      <c r="U7" s="137"/>
      <c r="V7" s="137"/>
    </row>
    <row r="8" spans="2:22" x14ac:dyDescent="0.25">
      <c r="B8" s="136"/>
      <c r="C8" s="137"/>
      <c r="D8" s="137"/>
      <c r="E8" s="137"/>
      <c r="F8" s="137"/>
      <c r="G8" s="137"/>
      <c r="H8" s="137"/>
      <c r="I8" s="137"/>
      <c r="J8" s="274" t="str">
        <f>"Wysokość  ze = "&amp;TEXT('Obliczenia wiatr II'!E42,"####0,0##")&amp;" m"</f>
        <v>Wysokość  ze = 25,0 m</v>
      </c>
      <c r="K8" s="275"/>
      <c r="L8" s="275"/>
      <c r="M8" s="275"/>
      <c r="N8" s="276"/>
      <c r="O8" s="137"/>
      <c r="P8" s="137"/>
      <c r="Q8" s="137"/>
      <c r="R8" s="137"/>
      <c r="S8" s="137"/>
      <c r="T8" s="137"/>
      <c r="U8" s="137"/>
      <c r="V8" s="137"/>
    </row>
    <row r="9" spans="2:22" x14ac:dyDescent="0.25">
      <c r="B9" s="136"/>
      <c r="C9" s="137"/>
      <c r="D9" s="137"/>
      <c r="E9" s="137"/>
      <c r="F9" s="137"/>
      <c r="G9" s="137"/>
      <c r="H9" s="137"/>
      <c r="I9" s="137"/>
      <c r="J9" s="277"/>
      <c r="K9" s="278"/>
      <c r="L9" s="278"/>
      <c r="M9" s="278"/>
      <c r="N9" s="279"/>
      <c r="O9" s="137"/>
      <c r="P9" s="137"/>
      <c r="Q9" s="137"/>
      <c r="R9" s="137"/>
      <c r="S9" s="137"/>
      <c r="T9" s="137"/>
      <c r="U9" s="137"/>
      <c r="V9" s="137"/>
    </row>
    <row r="10" spans="2:22" x14ac:dyDescent="0.25">
      <c r="J10" s="277"/>
      <c r="K10" s="278"/>
      <c r="L10" s="278"/>
      <c r="M10" s="278"/>
      <c r="N10" s="279"/>
    </row>
    <row r="11" spans="2:22" x14ac:dyDescent="0.25">
      <c r="I11" s="253" t="s">
        <v>180</v>
      </c>
      <c r="J11" s="257">
        <f>IF(K102=1,"",IF(K102=2,L60,IF(K102=3,"",IF(AND(K102=4,L69=N69,L60&gt;=L61),"",IF(AND(K102=4,L69&lt;&gt;N69,L60=L61),L61,IF(AND(K102=4,L60&gt;L61,L69&gt;N69),L61,IF(AND(K102=4,L60&gt;L61,L69&lt;N69),L60,IF(K102=5,"",IF(K102=6,"",IF(K102=7,L60,IF(K102=8,L60,IF(K102=9,"",IF(AND(K102=10,L62=0),L60,IF(AND(K102=10,L62&gt;0,L62&lt;L60,L70&gt;=N69,L71&lt;=N69),L62,IF(AND(K102=10,L62&gt;0,L62&lt;L60,L70&lt;N69),L60,IF(AND(K102=10,L62&gt;0,L62=L60),L60,IF(K102=11,L60,IF(K102=12,"",IF(K102=13,L60,IF(K102=14,L60,IF(K102=15,L60,IF(K102=16,L60,IF(K102=17,L60,IF(K102=18,L60,IF(K102=19,L60,IF(K102=20,L60,IF(K102=21,L60,IF(K102=22,L60,IF(K102=23,L60,"")))))))))))))))))))))))))))))</f>
        <v>5.6</v>
      </c>
      <c r="K11" s="257" t="str">
        <f>IF(K102=1,"",IF(K102=2,"",IF(K102=3,"",IF(K102=4,"",IF(K102=5,"",IF(K102=6,"",IF(K102=7,"",IF(K102=8,"",IF(K102=9,"",IF(K102=10,"",IF(AND(K102=11,L62=0),L61-L60,IF(AND(K102=11,L62&gt;0,L62&lt;L60,N70&gt;=L69,N71&lt;=L69),L61,IF(AND(K102=11,L62&gt;0,L62&lt;L60,N70&lt;L69),L61+L62-L60,IF(AND(K102=11,L62&gt;0,L62=L60),L61,IF(K102=12,"",IF(K102=13,"",IF(K102=14,L61,IF(K102=15,L61,IF(K102=16,"",IF(AND(K102=17,L70&gt;N70),L62-L60,IF(AND(K102=17,N70&gt;=L70),L61,IF(K102=18,L61,IF(K102=19,"",IF(K102=20,L61,IF(K102=21,L61,IF(K102=22,L61,IF(K102=23,L61,"")))))))))))))))))))))))))))</f>
        <v/>
      </c>
      <c r="L11" s="257">
        <f>IF(K102=1,"",IF(K102=2,"",IF(K102=3,"",IF(K102=4,"",IF(K102=5,L61,IF(K102=6,L61+L62,IF(K102=7,L61,IF(K102=8,L61+L62,IF(K102=9,L62,IF(K102=10,"",IF(K102=11,"",IF(K102=12,L62,IF(K102=13,"",IF(K102=14,L62,IF(K102=15,L62,IF(K102=16,L62-L60,IF(K102=17,"",IF(K102=18,L62-L60,IF(K102=19,L62-L60,IF(K102=20,L62-L60,IF(K102=21,L62-(L60+L61),IF(K102=22,L62-(L60+L61),IF(K102=23,L62-(L60+L61),"")))))))))))))))))))))))</f>
        <v>4.4000000000000004</v>
      </c>
      <c r="M11" s="257" t="str">
        <f>IF(K102=1,"",IF(K102=2,"",IF(K102=3,"",IF(K102=4,"",IF(K102=5,"",IF(K102=6,"",IF(K102=7,"",IF(K102=8,"",IF(K102=9,L61,IF(AND(K102=10,L62=0),L61-L60,IF(AND(K102=10,L62&gt;0,L62&lt;L60,L70&gt;=N69,L71&lt;=N69),L61,IF(AND(K102=10,L62&gt;0,L62&lt;L60,L70&lt;N69),L61+L62-L60,IF(AND(K102=10,L62&gt;0,L62=L60),L61,IF(K102=11,"",IF(K102=12,L61,IF(K102=13,L61+L62-L60,IF(K102=14,"",IF(K102=15,"",IF(K102=16,L61,IF(AND(K102=17,L70&gt;N70),L61,IF(AND(K102=17,N70&gt;=L70),L62-L60,IF(K102=18,"",IF(K102=19,L61,IF(K102=20,"",IF(K102=21,L61,IF(K102=22,L61,IF(K102=23,L61,"")))))))))))))))))))))))))))</f>
        <v/>
      </c>
      <c r="N11" s="257" t="str">
        <f>IF(K102=1,L60,IF(K102=2,"",IF(K102=3,L60+L61+L62,IF(AND(K102=4,L69=N69,L60&gt;=L61),L60+L61,IF(AND(K102=4,L69&lt;&gt;N69,L60=L61),L60,IF(AND(K102=4,L60&gt;L61,L69&gt;N69),L60,IF(AND(K102=4,L60&gt;L61,L69&lt;N69),L61,IF(K102=5,L60,IF(K102=6,L60,IF(K102=7,"",IF(K102=8,"",IF(K102=9,L60,IF(K102=10,L60,IF(AND(K102=11,L62=0),L60,IF(AND(K102=11,L62&gt;0,L62&lt;L60,N70&gt;=L69,N71&lt;=L69),L62,IF(AND(K102=11,L62&gt;0,L62&lt;L60,N70&lt;L69),L60,IF(AND(K102=11,L62&gt;0,L62=L60),L60,IF(K102=12,L60,IF(K102=13,L60,IF(K102=14,"",IF(K102=15,"",IF(K102=16,L60,IF(K102=17,L60,IF(K102=18,L60,IF(K102=19,L60,IF(K102=20,L60,IF(K102=21,L60,IF(K102=22,L60,IF(K102=23,L60,"")))))))))))))))))))))))))))))</f>
        <v/>
      </c>
      <c r="O11" s="1"/>
      <c r="Q11" s="194"/>
    </row>
    <row r="12" spans="2:22" x14ac:dyDescent="0.25">
      <c r="I12" s="281"/>
      <c r="J12" s="258"/>
      <c r="K12" s="258"/>
      <c r="L12" s="258"/>
      <c r="M12" s="258"/>
      <c r="N12" s="258"/>
      <c r="O12" s="1"/>
    </row>
    <row r="13" spans="2:22" x14ac:dyDescent="0.25">
      <c r="I13" s="281"/>
      <c r="J13" s="258"/>
      <c r="K13" s="258"/>
      <c r="L13" s="258"/>
      <c r="M13" s="258"/>
      <c r="N13" s="258"/>
      <c r="O13" s="1"/>
    </row>
    <row r="14" spans="2:22" x14ac:dyDescent="0.25">
      <c r="I14" s="283"/>
      <c r="J14" s="259"/>
      <c r="K14" s="259"/>
      <c r="L14" s="259"/>
      <c r="M14" s="259"/>
      <c r="N14" s="259"/>
      <c r="O14" s="1"/>
    </row>
    <row r="15" spans="2:22" x14ac:dyDescent="0.25">
      <c r="I15" s="253" t="s">
        <v>181</v>
      </c>
      <c r="J15" s="254">
        <f>IF(OR(K102=2,K102=4,K102=7,K102=8,K102=10,K102=11,K102=13,K102=14,K102=15,K102=16,K102=17,K102=18,K102=19,K102=20,K102=21,K102=22,K102=23),N69,IF(K102=1,L69,IF(OR(K102=3,K102=6,K102=12),M72,IF(K102=5,L70,IF(K102=9,L71,"")))))</f>
        <v>2.1392621695606677</v>
      </c>
      <c r="K15" s="254">
        <f>IF(OR(K102=11,K102=14,K102=15,K102=17,K102=18,K102=20,K102=21,K102=22,K102=23),N70,IF(K102=1,L69,IF(OR(K102=2,K102=4,K102=7,K102=8),N69,IF(OR(K102=3,K102=6,K102=12,K102=13,K102=19),M72,IF(OR(K102=5,K102=10),L70,IF(OR(K102=9,K102=16),L71,""))))))</f>
        <v>2.1392621695606677</v>
      </c>
      <c r="L15" s="254">
        <f>IF(K102=1,L69,IF(AND(K102=4,L69&gt;=N69),L69,IF(K102=2,N69,IF(AND(K102=4,N69&gt;L69),N69,IF(OR(K102=3,K102=6,K102=8,K102=12,K102=13,K102=15,K102=19,K102=20,K102=23),M72,IF(OR(K102=5,K102=10),L70,IF(AND(K102=17,L70&gt;N70),L70,IF(AND(K102=17,N70&gt;=L70),N70,IF(OR(K102=7,K102=11),N70,IF(OR(K102=9,K102=16,K102=21),L71,IF(OR(K102=14,K102=18,K102=22),N71,"")))))))))))</f>
        <v>1.6808488475119534</v>
      </c>
      <c r="M15" s="254">
        <f>IF(OR(K102=9,K102=10,K102=12,K102=16,K102=17,K102=19,K102=21,K102=22,K102=23),L70,IF(K102=2,N69,IF(OR(K102=3,K102=8,K102=13,K102=15,K102=20),M72,IF(OR(K102=1,K102=4,K102=5,K102=6),L69,IF(OR(K102=7,K102=11),N70,IF(OR(K102=14,K102=18),N71,""))))))</f>
        <v>1.6808488475119534</v>
      </c>
      <c r="N15" s="254">
        <f>IF(OR(K102=1,K102=4,K102=5,K102=6,K102=9,K102=10,K102=11,K102=12,K102=13,K102=16,K102=17,K102=18,K102=19,K102=20,K102=21,K102=22,K102=23),L69,IF(K102=2,N69,IF(OR(K102=3,K102=8,K102=15),M72,IF(K102=7,N70,IF(K102=14,N71,"")))))</f>
        <v>1.6808488475119534</v>
      </c>
      <c r="O15" s="188"/>
    </row>
    <row r="16" spans="2:22" x14ac:dyDescent="0.25">
      <c r="I16" s="281"/>
      <c r="J16" s="254"/>
      <c r="K16" s="254"/>
      <c r="L16" s="254"/>
      <c r="M16" s="254"/>
      <c r="N16" s="254"/>
      <c r="O16" s="188"/>
    </row>
    <row r="17" spans="5:21" x14ac:dyDescent="0.25">
      <c r="I17" s="281"/>
      <c r="J17" s="254"/>
      <c r="K17" s="254"/>
      <c r="L17" s="254"/>
      <c r="M17" s="254"/>
      <c r="N17" s="254"/>
      <c r="O17" s="188"/>
    </row>
    <row r="18" spans="5:21" x14ac:dyDescent="0.25">
      <c r="I18" s="281"/>
      <c r="J18" s="254"/>
      <c r="K18" s="254"/>
      <c r="L18" s="254"/>
      <c r="M18" s="254"/>
      <c r="N18" s="254"/>
      <c r="O18" s="193"/>
    </row>
    <row r="19" spans="5:21" ht="15.75" thickBot="1" x14ac:dyDescent="0.3">
      <c r="F19" s="70"/>
      <c r="G19" s="190" t="s">
        <v>180</v>
      </c>
      <c r="H19" s="256" t="s">
        <v>181</v>
      </c>
      <c r="I19" s="256"/>
      <c r="J19" s="254"/>
      <c r="K19" s="254"/>
      <c r="L19" s="255"/>
      <c r="M19" s="255"/>
      <c r="N19" s="255"/>
      <c r="O19" s="270" t="s">
        <v>181</v>
      </c>
      <c r="P19" s="270"/>
      <c r="Q19" s="192" t="s">
        <v>180</v>
      </c>
    </row>
    <row r="20" spans="5:21" ht="15.75" thickTop="1" x14ac:dyDescent="0.25">
      <c r="E20" s="244" t="str">
        <f>"Wysokość  ze = "&amp;TEXT('Obliczenia wiatr II'!D42,"####0,0##")&amp;" m"</f>
        <v>Wysokość  ze = 25,0 m</v>
      </c>
      <c r="F20" s="260" t="str">
        <f>TEXT(K60+K61+K62,"####0,0##")&amp;" m"</f>
        <v>28,0 m</v>
      </c>
      <c r="G20" s="262">
        <f>IF(F102=1,K60,IF(F102=2,"",IF(F102=3,K60+K61+K62,IF(AND(F102=4,K69=M69,K60&gt;=K61),K60+K61,IF(AND(F102=4,K69&lt;&gt;M69,K60=K61),K60,IF(AND(F102=4,K60&gt;K61,K69&gt;M69),K60,IF(AND(F102=4,K60&gt;K61,K69&lt;M69),K61,IF(F102=5,K60,IF(F102=6,K60,IF(F102=7,"",IF(F102=8,"",IF(F102=9,K60,IF(F102=10,K60,IF(AND(F102=11,K62=0),K60,IF(AND(F102=11,K62&gt;0,K62&lt;K60,M70&gt;=K69,M71&lt;=K69),K62,IF(AND(F102=11,K62&gt;0,K62&lt;K60,M70&lt;K69),K60,IF(AND(F102=11,K62&gt;0,K62=K60),K60,IF(F102=12,K60,IF(F102=13,K60,IF(F102=14,"",IF(F102=15,"",IF(F102=16,K60,IF(F102=17,K60,IF(F102=18,K60,IF(F102=19,K60,IF(F102=20,K60,IF(F102=21,K60,IF(F102=22,K60,IF(F102=23,K60,"")))))))))))))))))))))))))))))</f>
        <v>2</v>
      </c>
      <c r="H20" s="263">
        <f>IF(OR(F102=1,F102=4,F102=5,F102=6,F102=9,F102=10,F102=11,F102=12,F102=13,F102=16,F102=17,F102=18,F102=19,F102=20,F102=21,F102=22,F102=23),K69,IF(F102=2,M69,IF(OR(F102=3,F102=8,F102=15),L72,IF(F102=7,M70,IF(F102=14,M71,"")))))</f>
        <v>2.1392621695606677</v>
      </c>
      <c r="I20" s="263"/>
      <c r="J20" s="74"/>
      <c r="K20" s="286" t="str">
        <f>"Przyjęta oś budynku, odchylona o kąt "&amp;TEXT('Obliczenia wiatr II'!C11,"####0,0##")&amp;"° od kierunku N"</f>
        <v>Przyjęta oś budynku, odchylona o kąt 10,0° od kierunku N</v>
      </c>
      <c r="L20" s="87" t="s">
        <v>98</v>
      </c>
      <c r="M20" s="75"/>
      <c r="N20" s="76"/>
      <c r="O20" s="264">
        <f>IF(OR(P102=1,P102=4,P102=5,P102=6,P102=9,P102=10,P102=11,P102=12,P102=13,P102=16,P102=17,P102=18,P102=19,P102=20,P102=21,P102=22,P102=23),K69,IF(P102=2,M69,IF(OR(P102=3,P102=8,P102=15),N72,IF(P102=7,M70,IF(P102=14,M71,"")))))</f>
        <v>2.1392621695606677</v>
      </c>
      <c r="P20" s="263"/>
      <c r="Q20" s="262">
        <f>IF(P102=1,K60,IF(P102=2,"",IF(P102=3,K60+K61+K62,IF(AND(P102=4,K69=M69,K60&gt;=K61),K60+K61,IF(AND(P102=4,K69&lt;&gt;M69,K60=K61),K60,IF(AND(P102=4,K60&gt;K61,K69&gt;M69),K60,IF(AND(P102=4,K60&gt;K61,K69&lt;M69),K61,IF(P102=5,K60,IF(P102=6,K60,IF(P102=7,"",IF(P102=8,"",IF(P102=9,K60,IF(P102=10,K60,IF(AND(P102=11,K62=0),K60,IF(AND(P102=11,K62&gt;0,K62&lt;K60,M70&gt;=K69,M71&lt;=K69),K62,IF(AND(P102=11,K62&gt;0,K62&lt;K60,M70&lt;K69),K60,IF(AND(P102=11,K62&gt;0,K62=K60),K60,IF(P102=12,K60,IF(P102=13,K60,IF(P102=14,"",IF(P102=15,"",IF(P102=16,K60,IF(P102=17,K60,IF(P102=18,K60,IF(P102=19,K60,IF(P102=20,K60,IF(P102=21,K60,IF(P102=22,K60,IF(P102=23,K60,"")))))))))))))))))))))))))))))</f>
        <v>2</v>
      </c>
      <c r="R20" s="244" t="str">
        <f>"Wysokość  ze = "&amp;TEXT('Obliczenia wiatr II'!D42,"####0,0##")&amp;" m"</f>
        <v>Wysokość  ze = 25,0 m</v>
      </c>
    </row>
    <row r="21" spans="5:21" ht="15" customHeight="1" x14ac:dyDescent="0.25">
      <c r="E21" s="244"/>
      <c r="F21" s="260"/>
      <c r="G21" s="262"/>
      <c r="H21" s="263"/>
      <c r="I21" s="263"/>
      <c r="J21" s="271"/>
      <c r="K21" s="287"/>
      <c r="L21" s="77"/>
      <c r="M21" s="78"/>
      <c r="N21" s="79"/>
      <c r="O21" s="264"/>
      <c r="P21" s="263"/>
      <c r="Q21" s="262"/>
      <c r="R21" s="244"/>
    </row>
    <row r="22" spans="5:21" x14ac:dyDescent="0.25">
      <c r="E22" s="244"/>
      <c r="F22" s="260"/>
      <c r="G22" s="262"/>
      <c r="H22" s="263"/>
      <c r="I22" s="263"/>
      <c r="J22" s="271"/>
      <c r="K22" s="287"/>
      <c r="L22" s="77"/>
      <c r="M22" s="78"/>
      <c r="N22" s="79"/>
      <c r="O22" s="264"/>
      <c r="P22" s="263"/>
      <c r="Q22" s="262"/>
      <c r="R22" s="244"/>
    </row>
    <row r="23" spans="5:21" x14ac:dyDescent="0.25">
      <c r="E23" s="244"/>
      <c r="F23" s="260"/>
      <c r="G23" s="262"/>
      <c r="H23" s="263"/>
      <c r="I23" s="263"/>
      <c r="J23" s="80"/>
      <c r="K23" s="287"/>
      <c r="L23" s="77"/>
      <c r="M23" s="78"/>
      <c r="N23" s="79"/>
      <c r="O23" s="264"/>
      <c r="P23" s="263"/>
      <c r="Q23" s="262"/>
      <c r="R23" s="244"/>
    </row>
    <row r="24" spans="5:21" x14ac:dyDescent="0.25">
      <c r="E24" s="244"/>
      <c r="F24" s="260"/>
      <c r="G24" s="262">
        <f>IF(F102=1,"",IF(F102=2,"",IF(F102=3,"",IF(F102=4,"",IF(F102=5,"",IF(F102=6,"",IF(F102=7,"",IF(F102=8,"",IF(F102=9,K61,IF(AND(F102=10,K62=0),K61-K60,IF(AND(F102=10,K62&gt;0,K62&lt;K60,K70&gt;=M69,K71&lt;=M69),K61,IF(AND(F102=10,K62&gt;0,K62&lt;K60,K70&lt;M69),K61+K62-K60,IF(AND(F102=10,K62&gt;0,K62=K60),K61,IF(F102=11,"",IF(F102=12,K61,IF(F102=13,K61+K62-K60,IF(F102=14,"",IF(F102=15,"",IF(F102=16,K61,IF(AND(F102=17,K70&gt;M70),K61,IF(AND(F102=17,M70&gt;=K70),K62-K60,IF(F102=18,"",IF(F102=19,K61,IF(F102=20,"",IF(F102=21,K61,IF(F102=22,K61,IF(F102=23,K61,"")))))))))))))))))))))))))))</f>
        <v>8</v>
      </c>
      <c r="H24" s="263">
        <f>IF(OR(F102=9,F102=10,F102=12,F102=16,F102=17,F102=19,F102=21,F102=22,F102=23),K70,IF(F102=2,M69,IF(OR(F102=3,F102=8,F102=13,F102=15,F102=20),L72,IF(OR(F102=1,F102=4,F102=5,F102=6),K69,IF(OR(F102=7,F102=11),M70,IF(OR(F102=14,F102=18),M71,""))))))</f>
        <v>1.6808488475119534</v>
      </c>
      <c r="I24" s="263"/>
      <c r="J24" s="80"/>
      <c r="K24" s="287"/>
      <c r="L24" s="77"/>
      <c r="M24" s="78"/>
      <c r="N24" s="79"/>
      <c r="O24" s="264">
        <f>IF(OR(P102=9,P102=10,P102=12,P102=16,P102=17,P102=19,P102=21,P102=22,P102=23),K70,IF(P102=2,M69,IF(OR(P102=3,P102=8,P102=13,P102=15,P102=20),N72,IF(OR(P102=1,P102=4,P102=5,P102=6),K69,IF(OR(P102=7,P102=11),M70,IF(OR(P102=14,P102=18),M71,""))))))</f>
        <v>1.6808488475119534</v>
      </c>
      <c r="P24" s="263"/>
      <c r="Q24" s="262">
        <f>IF(P102=1,"",IF(P102=2,"",IF(P102=3,"",IF(P102=4,"",IF(P102=5,"",IF(P102=6,"",IF(P102=7,"",IF(P102=8,"",IF(P102=9,K61,IF(AND(P102=10,K62=0),K61-K60,IF(AND(P102=10,K62&gt;0,K62&lt;K60,K70&gt;=M69,K71&lt;=M69),K61,IF(AND(P102=10,K62&gt;0,K62&lt;K60,K70&lt;M69),K61+K62-K60,IF(AND(P102=10,K62&gt;0,K62=K60),K61,IF(P102=11,"",IF(P102=12,K61,IF(P102=13,K61+K62-K60,IF(P102=14,"",IF(P102=15,"",IF(P102=16,K61,IF(AND(P102=17,K70&gt;M70),K61,IF(AND(P102=17,M70&gt;=K70),K62-K60,IF(P102=18,"",IF(P102=19,K61,IF(P102=20,"",IF(P102=21,K61,IF(P102=22,K61,IF(P102=23,K61,"")))))))))))))))))))))))))))</f>
        <v>8</v>
      </c>
      <c r="R24" s="244"/>
    </row>
    <row r="25" spans="5:21" x14ac:dyDescent="0.25">
      <c r="E25" s="244"/>
      <c r="F25" s="260"/>
      <c r="G25" s="262"/>
      <c r="H25" s="263"/>
      <c r="I25" s="263"/>
      <c r="J25" s="271"/>
      <c r="K25" s="287"/>
      <c r="L25" s="77"/>
      <c r="M25" s="78"/>
      <c r="N25" s="79"/>
      <c r="O25" s="264"/>
      <c r="P25" s="263"/>
      <c r="Q25" s="262"/>
      <c r="R25" s="244"/>
      <c r="U25" s="81"/>
    </row>
    <row r="26" spans="5:21" x14ac:dyDescent="0.25">
      <c r="E26" s="244"/>
      <c r="F26" s="260"/>
      <c r="G26" s="262"/>
      <c r="H26" s="263"/>
      <c r="I26" s="263"/>
      <c r="J26" s="271"/>
      <c r="K26" s="287"/>
      <c r="L26" s="77"/>
      <c r="M26" s="78"/>
      <c r="N26" s="79"/>
      <c r="O26" s="264"/>
      <c r="P26" s="263"/>
      <c r="Q26" s="262"/>
      <c r="R26" s="244"/>
      <c r="U26" s="81"/>
    </row>
    <row r="27" spans="5:21" x14ac:dyDescent="0.25">
      <c r="E27" s="244"/>
      <c r="F27" s="260"/>
      <c r="G27" s="262"/>
      <c r="H27" s="263"/>
      <c r="I27" s="263"/>
      <c r="J27" s="80"/>
      <c r="K27" s="287"/>
      <c r="L27" s="77"/>
      <c r="M27" s="78"/>
      <c r="N27" s="79"/>
      <c r="O27" s="264"/>
      <c r="P27" s="263"/>
      <c r="Q27" s="262"/>
      <c r="R27" s="244"/>
      <c r="U27" s="81"/>
    </row>
    <row r="28" spans="5:21" x14ac:dyDescent="0.25">
      <c r="E28" s="244"/>
      <c r="F28" s="260"/>
      <c r="G28" s="262">
        <f>IF(F102=1,"",IF(F102=2,"",IF(F102=3,"",IF(F102=4,"",IF(F102=5,K61,IF(F102=6,K61+K62,IF(F102=7,K61,IF(F102=8,K61+K62,IF(F102=9,K62,IF(F102=10,"",IF(F102=11,"",IF(F102=12,K62,IF(F102=13,"",IF(F102=14,K62,IF(F102=15,K62,IF(F102=16,K62-K60,IF(F102=17,"",IF(F102=18,K62-K60,IF(F102=19,K62-K60,IF(F102=20,K62-K60,IF(F102=21,K62-(K60+K61),IF(F102=22,K62-(K60+K61),IF(F102=23,K62-(K60+K61),"")))))))))))))))))))))))</f>
        <v>8</v>
      </c>
      <c r="H28" s="263">
        <f>IF(F102=1,K69,IF(AND(F102=4,K69&gt;=M69),K69,IF(F102=2,M69,IF(AND(F102=4,M69&gt;K69),M69,IF(OR(F102=3,F102=6,F102=8,F102=12,F102=13,F102=15,F102=19,F102=20,F102=23),L72,IF(OR(F102=5,F102=10),K70,IF(AND(F102=17,K70&gt;M70),K70,IF(AND(F102=17,M70&gt;=K70),M70,IF(OR(F102=7,F102=11),M70,IF(OR(F102=9,F102=16,F102=21),K71,IF(OR(F102=14,F102=18,F102=22),M71,"")))))))))))</f>
        <v>0.76402220341452431</v>
      </c>
      <c r="I28" s="263"/>
      <c r="J28" s="80"/>
      <c r="K28" s="287"/>
      <c r="L28" s="77"/>
      <c r="M28" s="78"/>
      <c r="N28" s="79"/>
      <c r="O28" s="264">
        <f>IF(P102=1,K69,IF(AND(P102=4,K69&gt;=M69),K69,IF(P102=2,M69,IF(AND(P102=4,M69&gt;K69),M69,IF(OR(P102=3,P102=6,P102=8,P102=12,P102=13,P102=15,P102=19,P102=20,P102=23),N72,IF(OR(P102=5,P102=10),K70,IF(AND(P102=17,K70&gt;M70),K70,IF(AND(P102=17,M70&gt;=K70),M70,IF(OR(P102=7,P102=11),M70,IF(OR(P102=9,P102=16,P102=21),K71,IF(OR(P102=14,P102=18,P102=22),M71,"")))))))))))</f>
        <v>0.87862553392670284</v>
      </c>
      <c r="P28" s="263"/>
      <c r="Q28" s="262">
        <f>IF(P102=1,"",IF(P102=2,"",IF(P102=3,"",IF(P102=4,"",IF(P102=5,K61,IF(P102=6,K61+K62,IF(P102=7,K61,IF(P102=8,K61+K62,IF(P102=9,K62,IF(P102=10,"",IF(P102=11,"",IF(P102=12,K62,IF(P102=13,"",IF(P102=14,K62,IF(P102=15,K62,IF(P102=16,K62-K60,IF(P102=17,"",IF(P102=18,K62-K60,IF(P102=19,K62-K60,IF(P102=20,K62-K60,IF(P102=21,K62-(K60+K61),IF(P102=22,K62-(K60+K61),IF(P102=23,K62-(K60+K61),"")))))))))))))))))))))))</f>
        <v>16</v>
      </c>
      <c r="R28" s="244"/>
      <c r="U28" s="81"/>
    </row>
    <row r="29" spans="5:21" x14ac:dyDescent="0.25">
      <c r="E29" s="244"/>
      <c r="F29" s="260"/>
      <c r="G29" s="262"/>
      <c r="H29" s="263"/>
      <c r="I29" s="263"/>
      <c r="J29" s="265" t="s">
        <v>97</v>
      </c>
      <c r="K29" s="287"/>
      <c r="L29" s="284" t="s">
        <v>88</v>
      </c>
      <c r="M29" s="78"/>
      <c r="N29" s="266" t="s">
        <v>99</v>
      </c>
      <c r="O29" s="264"/>
      <c r="P29" s="263"/>
      <c r="Q29" s="262"/>
      <c r="R29" s="244"/>
      <c r="U29" s="81"/>
    </row>
    <row r="30" spans="5:21" x14ac:dyDescent="0.25">
      <c r="E30" s="244"/>
      <c r="F30" s="260"/>
      <c r="G30" s="262"/>
      <c r="H30" s="263"/>
      <c r="I30" s="263"/>
      <c r="J30" s="265"/>
      <c r="K30" s="287"/>
      <c r="L30" s="285"/>
      <c r="M30" s="78"/>
      <c r="N30" s="266"/>
      <c r="O30" s="264"/>
      <c r="P30" s="263"/>
      <c r="Q30" s="262"/>
      <c r="R30" s="244"/>
      <c r="U30" s="81"/>
    </row>
    <row r="31" spans="5:21" x14ac:dyDescent="0.25">
      <c r="E31" s="244"/>
      <c r="F31" s="260"/>
      <c r="G31" s="262"/>
      <c r="H31" s="263"/>
      <c r="I31" s="263"/>
      <c r="J31" s="82"/>
      <c r="K31" s="287"/>
      <c r="L31" s="77"/>
      <c r="M31" s="78"/>
      <c r="N31" s="79"/>
      <c r="O31" s="264"/>
      <c r="P31" s="263"/>
      <c r="Q31" s="262"/>
      <c r="R31" s="244"/>
      <c r="U31" s="81"/>
    </row>
    <row r="32" spans="5:21" x14ac:dyDescent="0.25">
      <c r="E32" s="244"/>
      <c r="F32" s="260"/>
      <c r="G32" s="262">
        <f>IF(F102=1,"",IF(F102=2,"",IF(F102=3,"",IF(F102=4,"",IF(F102=5,"",IF(F102=6,"",IF(F102=7,"",IF(F102=8,"",IF(F102=9,"",IF(F102=10,"",IF(AND(F102=11,K62=0),K61-K60,IF(AND(F102=11,K62&gt;0,K62&lt;K60,M70&gt;=K69,M71&lt;=K69),K61,IF(AND(F102=11,K62&gt;0,K62&lt;K60,M70&lt;K69),K61+K62-K60,IF(AND(F102=11,K62&gt;0,K62=K60),K61,IF(F102=12,"",IF(F102=13,"",IF(F102=14,K61,IF(F102=15,K61,IF(F102=16,"",IF(AND(F102=17,K70&gt;M70),K62-K60,IF(AND(F102=17,M70&gt;=K70),K61,IF(F102=18,K61,IF(F102=19,"",IF(F102=20,K61,IF(F102=21,K61,IF(F102=22,K61,IF(F102=23,K61,"")))))))))))))))))))))))))))</f>
        <v>8</v>
      </c>
      <c r="H32" s="263">
        <f>IF(OR(F102=11,F102=14,F102=15,F102=17,F102=18,F102=20,F102=21,F102=22,F102=23),M70,IF(F102=1,K69,IF(OR(F102=2,F102=4,F102=7,F102=8),M69,IF(OR(F102=3,F102=6,F102=12,F102=13,F102=19),L72,IF(OR(F102=5,F102=10),K70,IF(OR(F102=9,F102=16),K71,""))))))</f>
        <v>0.82361593528085719</v>
      </c>
      <c r="I32" s="263"/>
      <c r="J32" s="80"/>
      <c r="K32" s="287"/>
      <c r="L32" s="77"/>
      <c r="M32" s="78"/>
      <c r="N32" s="79"/>
      <c r="O32" s="264">
        <f>IF(OR(P102=11,P102=14,P102=15,P102=17,P102=18,P102=20,P102=21,P102=22,P102=23),M70,IF(P102=1,K69,IF(OR(P102=2,P102=4,P102=7,P102=8),M69,IF(OR(P102=3,P102=6,P102=12,P102=13,P102=19),N72,IF(OR(P102=5,P102=10),K70,IF(OR(P102=9,P102=16),K71,""))))))</f>
        <v>0.87862553392670284</v>
      </c>
      <c r="P32" s="263"/>
      <c r="Q32" s="262" t="str">
        <f>IF(P102=1,"",IF(P102=2,"",IF(P102=3,"",IF(P102=4,"",IF(P102=5,"",IF(P102=6,"",IF(P102=7,"",IF(P102=8,"",IF(P102=9,"",IF(P102=10,"",IF(AND(P102=11,K62=0),K61-K60,IF(AND(P102=11,K62&gt;0,K62&lt;K60,M70&gt;=K69,M71&lt;=K69),K61,IF(AND(P102=11,K62&gt;0,K62&lt;K60,M70&lt;K69),K61+K62-K60,IF(AND(P102=11,K62&gt;0,K62=K60),K61,IF(P102=12,"",IF(P102=13,"",IF(P102=14,K61,IF(P102=15,K61,IF(P102=16,"",IF(AND(P102=17,K70&gt;M70),K62-K60,IF(AND(P102=17,M70&gt;=K70),K61,IF(P102=18,K61,IF(P102=19,"",IF(P102=20,K61,IF(P102=21,K61,IF(P102=22,K61,IF(P102=23,K61,"")))))))))))))))))))))))))))</f>
        <v/>
      </c>
      <c r="R32" s="244"/>
    </row>
    <row r="33" spans="5:18" x14ac:dyDescent="0.25">
      <c r="E33" s="244"/>
      <c r="F33" s="260"/>
      <c r="G33" s="262"/>
      <c r="H33" s="263"/>
      <c r="I33" s="263"/>
      <c r="J33" s="271"/>
      <c r="K33" s="287"/>
      <c r="L33" s="77"/>
      <c r="M33" s="78"/>
      <c r="N33" s="79"/>
      <c r="O33" s="264"/>
      <c r="P33" s="263"/>
      <c r="Q33" s="262"/>
      <c r="R33" s="244"/>
    </row>
    <row r="34" spans="5:18" x14ac:dyDescent="0.25">
      <c r="E34" s="244"/>
      <c r="F34" s="260"/>
      <c r="G34" s="262"/>
      <c r="H34" s="263"/>
      <c r="I34" s="263"/>
      <c r="J34" s="271"/>
      <c r="K34" s="287"/>
      <c r="L34" s="77"/>
      <c r="M34" s="78"/>
      <c r="N34" s="79"/>
      <c r="O34" s="264"/>
      <c r="P34" s="263"/>
      <c r="Q34" s="262"/>
      <c r="R34" s="244"/>
    </row>
    <row r="35" spans="5:18" x14ac:dyDescent="0.25">
      <c r="E35" s="244"/>
      <c r="F35" s="260"/>
      <c r="G35" s="262"/>
      <c r="H35" s="263"/>
      <c r="I35" s="263"/>
      <c r="J35" s="80"/>
      <c r="K35" s="287"/>
      <c r="L35" s="77"/>
      <c r="M35" s="78"/>
      <c r="N35" s="79"/>
      <c r="O35" s="264"/>
      <c r="P35" s="263"/>
      <c r="Q35" s="262"/>
      <c r="R35" s="244"/>
    </row>
    <row r="36" spans="5:18" x14ac:dyDescent="0.25">
      <c r="E36" s="244"/>
      <c r="F36" s="260"/>
      <c r="G36" s="262">
        <f>IF(F102=1,"",IF(F102=2,K60,IF(F102=3,"",IF(AND(F102=4,K69=M69,K60&gt;=K61),"",IF(AND(F102=4,K69&lt;&gt;M69,K60=K61),K61,IF(AND(F102=4,K60&gt;K61,K69&gt;M69),K61,IF(AND(F102=4,K60&gt;K61,K69&lt;M69),K60,IF(F102=5,"",IF(F102=6,"",IF(F102=7,K60,IF(F102=8,K60,IF(F102=9,"",IF(AND(F102=10,K62=0),K60,IF(AND(F102=10,K62&gt;0,K62&lt;K60,K70&gt;=M69,K71&lt;=M69),K62,IF(AND(F102=10,K62&gt;0,K62&lt;K60,K70&lt;M69),K60,IF(AND(F102=10,K62&gt;0,K62=K60),K60,IF(F102=11,K60,IF(F102=12,"",IF(F102=13,K60,IF(F102=14,K60,IF(F102=15,K60,IF(F102=16,K60,IF(F102=17,K60,IF(F102=18,K60,IF(F102=19,K60,IF(F102=20,K60,IF(F102=21,K60,IF(F102=22,K60,IF(F102=23,K60,"")))))))))))))))))))))))))))))</f>
        <v>2</v>
      </c>
      <c r="H36" s="263">
        <f>IF(OR(F102=2,F102=4,F102=7,F102=8,F102=10,F102=11,F102=13,F102=14,F102=15,F102=16,F102=17,F102=18,F102=19,F102=20,F102=21,F102=22,F102=23),M69,IF(F102=1,K69,IF(OR(F102=3,F102=6,F102=12),L72,IF(F102=5,K70,IF(F102=9,K71,"")))))</f>
        <v>1.0482384630847272</v>
      </c>
      <c r="I36" s="263"/>
      <c r="J36" s="80"/>
      <c r="K36" s="287"/>
      <c r="L36" s="77"/>
      <c r="M36" s="78"/>
      <c r="N36" s="79"/>
      <c r="O36" s="264">
        <f>IF(OR(P102=2,P102=4,P102=7,P102=8,P102=10,P102=11,P102=13,P102=14,P102=15,P102=16,P102=17,P102=18,P102=19,P102=20,P102=21,P102=22,P102=23),M69,IF(P102=1,K69,IF(OR(P102=3,P102=6,P102=12),N72,IF(P102=5,K70,IF(P102=9,K71,"")))))</f>
        <v>1.0482384630847272</v>
      </c>
      <c r="P36" s="263"/>
      <c r="Q36" s="262">
        <f>IF(P102=1,"",IF(P102=2,K60,IF(P102=3,"",IF(AND(P102=4,K69=M69,K60&gt;=K61),"",IF(AND(P102=4,K69&lt;&gt;M69,K60=K61),K61,IF(AND(P102=4,K60&gt;K61,K69&gt;M69),K61,IF(AND(P102=4,K60&gt;K61,K69&lt;M69),K60,IF(P102=5,"",IF(P102=6,"",IF(P102=7,K60,IF(P102=8,K60,IF(P102=9,"",IF(AND(P102=10,K62=0),K60,IF(AND(P102=10,K62&gt;0,K62&lt;K60,K70&gt;=M69,K71&lt;=M69),K62,IF(AND(P102=10,K62&gt;0,K62&lt;K60,K70&lt;M69),K60,IF(AND(P102=10,K62&gt;0,K62=K60),K60,IF(P102=11,K60,IF(P102=12,"",IF(P102=13,K60,IF(P102=14,K60,IF(P102=15,K60,IF(P102=16,K60,IF(P102=17,K60,IF(P102=18,K60,IF(P102=19,K60,IF(P102=20,K60,IF(P102=21,K60,IF(P102=22,K60,IF(P102=23,K60,"")))))))))))))))))))))))))))))</f>
        <v>2</v>
      </c>
      <c r="R36" s="244"/>
    </row>
    <row r="37" spans="5:18" x14ac:dyDescent="0.25">
      <c r="E37" s="244"/>
      <c r="F37" s="260"/>
      <c r="G37" s="262"/>
      <c r="H37" s="263"/>
      <c r="I37" s="263"/>
      <c r="J37" s="271"/>
      <c r="K37" s="287"/>
      <c r="L37" s="77"/>
      <c r="M37" s="78"/>
      <c r="N37" s="79"/>
      <c r="O37" s="264"/>
      <c r="P37" s="263"/>
      <c r="Q37" s="262"/>
      <c r="R37" s="244"/>
    </row>
    <row r="38" spans="5:18" x14ac:dyDescent="0.25">
      <c r="E38" s="244"/>
      <c r="F38" s="260"/>
      <c r="G38" s="262"/>
      <c r="H38" s="263"/>
      <c r="I38" s="263"/>
      <c r="J38" s="271"/>
      <c r="K38" s="287"/>
      <c r="L38" s="77"/>
      <c r="M38" s="78"/>
      <c r="N38" s="79"/>
      <c r="O38" s="264"/>
      <c r="P38" s="263"/>
      <c r="Q38" s="262"/>
      <c r="R38" s="244"/>
    </row>
    <row r="39" spans="5:18" ht="15.75" thickBot="1" x14ac:dyDescent="0.3">
      <c r="E39" s="244"/>
      <c r="F39" s="260"/>
      <c r="G39" s="262"/>
      <c r="H39" s="263"/>
      <c r="I39" s="263"/>
      <c r="J39" s="83"/>
      <c r="K39" s="288"/>
      <c r="L39" s="88" t="s">
        <v>100</v>
      </c>
      <c r="M39" s="84"/>
      <c r="N39" s="85"/>
      <c r="O39" s="264"/>
      <c r="P39" s="263"/>
      <c r="Q39" s="262"/>
      <c r="R39" s="244"/>
    </row>
    <row r="40" spans="5:18" ht="15.75" thickTop="1" x14ac:dyDescent="0.25">
      <c r="H40" s="191"/>
      <c r="I40" s="252" t="s">
        <v>181</v>
      </c>
      <c r="J40" s="254">
        <f>IF(OR(U102=2,U102=4,U102=7,U102=8,U102=10,U102=11,U102=13,U102=14,U102=15,U102=16,U102=17,U102=18,U102=19,U102=20,U102=21,U102=22,U102=23),N69,IF(U102=1,L69,IF(OR(U102=3,U102=6,U102=12),K72,IF(U102=5,L70,IF(U102=9,L71,"")))))</f>
        <v>2.1392621695606677</v>
      </c>
      <c r="K40" s="254">
        <f>IF(OR(U102=11,U102=14,U102=15,U102=17,U102=18,U102=20,U102=21,U102=22,U102=23),N70,IF(U102=1,L69,IF(OR(U102=2,U102=4,U102=7,U102=8),N69,IF(OR(U102=3,U102=6,U102=12,U102=13,U102=19),K72,IF(OR(U102=5,U102=10),L70,IF(OR(U102=9,U102=16),L71,""))))))</f>
        <v>2.1392621695606677</v>
      </c>
      <c r="L40" s="272">
        <f>IF(U102=1,L69,IF(AND(U102=4,L69&gt;=N69),L69,IF(U102=2,N69,IF(AND(U102=4,N69&gt;L69),N69,IF(OR(U102=3,U102=6,U102=8,U102=12,U102=13,U102=15,U102=19,U102=20,U102=23),K72,IF(OR(U102=5,U102=10),L70,IF(AND(U102=17,L70&gt;N70),L70,IF(AND(U102=17,N70&gt;=L70),N70,IF(OR(U102=7,U102=11),N70,IF(OR(U102=9,U102=16,U102=21),L71,IF(OR(U102=14,U102=18,U102=22),N71,"")))))))))))</f>
        <v>1.6808488475119534</v>
      </c>
      <c r="M40" s="272">
        <f>IF(OR(U102=9,U102=10,U102=12,U102=16,U102=17,U102=19,U102=21,U102=22,U102=23),L70,IF(U102=2,N69,IF(OR(U102=3,U102=8,U102=13,U102=15,U102=20),K72,IF(OR(U102=1,U102=4,U102=5,U102=6),L69,IF(OR(U102=7,U102=11),N70,IF(OR(U102=14,U102=18),N71,""))))))</f>
        <v>1.6808488475119534</v>
      </c>
      <c r="N40" s="272">
        <f>IF(OR(U102=1,U102=4,U102=5,U102=6,U102=9,U102=10,U102=11,U102=12,U102=13,U102=16,U102=17,U102=18,U102=19,U102=20,U102=21,U102=22,U102=23),L69,IF(U102=2,N69,IF(OR(U102=3,U102=8,U102=15),K72,IF(U102=7,N70,IF(U102=14,N71,"")))))</f>
        <v>1.6808488475119534</v>
      </c>
      <c r="O40" s="187"/>
      <c r="P40" s="185"/>
    </row>
    <row r="41" spans="5:18" x14ac:dyDescent="0.25">
      <c r="I41" s="252"/>
      <c r="J41" s="254"/>
      <c r="K41" s="254"/>
      <c r="L41" s="273"/>
      <c r="M41" s="254"/>
      <c r="N41" s="254"/>
      <c r="O41" s="188"/>
    </row>
    <row r="42" spans="5:18" x14ac:dyDescent="0.25">
      <c r="I42" s="252"/>
      <c r="J42" s="254"/>
      <c r="K42" s="254"/>
      <c r="L42" s="273"/>
      <c r="M42" s="254"/>
      <c r="N42" s="254"/>
      <c r="O42" s="188"/>
    </row>
    <row r="43" spans="5:18" x14ac:dyDescent="0.25">
      <c r="I43" s="252"/>
      <c r="J43" s="254"/>
      <c r="K43" s="254"/>
      <c r="L43" s="273"/>
      <c r="M43" s="254"/>
      <c r="N43" s="254"/>
      <c r="O43" s="188"/>
    </row>
    <row r="44" spans="5:18" x14ac:dyDescent="0.25">
      <c r="I44" s="252"/>
      <c r="J44" s="254"/>
      <c r="K44" s="254"/>
      <c r="L44" s="273"/>
      <c r="M44" s="254"/>
      <c r="N44" s="254"/>
      <c r="O44" s="188"/>
    </row>
    <row r="45" spans="5:18" x14ac:dyDescent="0.25">
      <c r="I45" s="280" t="s">
        <v>180</v>
      </c>
      <c r="J45" s="260">
        <f>IF(U102=1,"",IF(U102=2,L60,IF(U102=3,"",IF(AND(U102=4,L69=N69,L60&gt;=L61),"",IF(AND(U102=4,L69&lt;&gt;N69,L60=L61),L61,IF(AND(U102=4,L60&gt;L61,L69&gt;N69),L61,IF(AND(U102=4,L60&gt;L61,L69&lt;N69),L60,IF(U102=5,"",IF(U102=6,"",IF(U102=7,L60,IF(U102=8,L60,IF(U102=9,"",IF(AND(U102=10,L62=0),L60,IF(AND(U102=10,L62&gt;0,L62&lt;L60,L70&gt;=N69,L71&lt;=N69),L62,IF(AND(U102=10,L62&gt;0,L62&lt;L60,L70&lt;N69),L60,IF(AND(U102=10,L62&gt;0,L62=L60),L60,IF(U102=11,L60,IF(U102=12,"",IF(U102=13,L60,IF(U102=14,L60,IF(U102=15,L60,IF(U102=16,L60,IF(U102=17,L60,IF(U102=18,L60,IF(U102=19,L60,IF(U102=20,L60,IF(U102=21,L60,IF(U102=22,L60,IF(U102=23,L60,"")))))))))))))))))))))))))))))</f>
        <v>5.6</v>
      </c>
      <c r="K45" s="260" t="str">
        <f>IF(U102=1,"",IF(U102=2,"",IF(U102=3,"",IF(U102=4,"",IF(U102=5,"",IF(U102=6,"",IF(U102=7,"",IF(U102=8,"",IF(U102=9,"",IF(U102=10,"",IF(AND(U102=11,L62=0),L61-L60,IF(AND(U102=11,L62&gt;0,L62&lt;L60,N70&gt;=L69,N71&lt;=L69),L61,IF(AND(U102=11,L62&gt;0,L62&lt;L60,N70&lt;L69),L61+L62-L60,IF(AND(U102=11,L62&gt;0,L62=L60),L61,IF(U102=12,"",IF(U102=13,"",IF(U102=14,L61,IF(U102=15,L61,IF(U102=16,"",IF(AND(U102=17,L70&gt;N70),L62-L60,IF(AND(U102=17,N70&gt;=L70),L61,IF(U102=18,L61,IF(U102=19,"",IF(U102=20,L61,IF(U102=21,L61,IF(U102=22,L61,IF(U102=23,L61,"")))))))))))))))))))))))))))</f>
        <v/>
      </c>
      <c r="L45" s="260">
        <f>IF(U102=1,"",IF(U102=2,"",IF(U102=3,"",IF(U102=4,"",IF(U102=5,L61,IF(U102=6,L61+L62,IF(U102=7,L61,IF(U102=8,L61+L62,IF(U102=9,L62,IF(U102=10,"",IF(U102=11,"",IF(U102=12,L62,IF(U102=13,"",IF(U102=14,L62,IF(U102=15,L62,IF(U102=16,L62-L60,IF(U102=17,"",IF(U102=18,L62-L60,IF(U102=19,L62-L60,IF(U102=20,L62-L60,IF(U102=21,L62-(L60+L61),IF(U102=22,L62-(L60+L61),IF(U102=23,L62-(L60+L61),"")))))))))))))))))))))))</f>
        <v>4.4000000000000004</v>
      </c>
      <c r="M45" s="260" t="str">
        <f>IF(U102=1,"",IF(U102=2,"",IF(U102=3,"",IF(U102=4,"",IF(U102=5,"",IF(U102=6,"",IF(U102=7,"",IF(U102=8,"",IF(U102=9,L61,IF(AND(U102=10,L62=0),L61-L60,IF(AND(U102=10,L62&gt;0,L62&lt;L60,L70&gt;=N69,L71&lt;=N69),L61,IF(AND(U102=10,L62&gt;0,L62&lt;L60,L70&lt;N69),L61+L62-L60,IF(AND(U102=10,L62&gt;0,L62=L60),L61,IF(U102=11,"",IF(U102=12,L61,IF(U102=13,L61+L62-L60,IF(U102=14,"",IF(U102=15,"",IF(U102=16,L61,IF(AND(U102=17,L70&gt;N70),L61,IF(AND(U102=17,N70&gt;=L70),L62-L60,IF(U102=18,"",IF(U102=19,L61,IF(U102=20,"",IF(U102=21,L61,IF(U102=22,L61,IF(U102=23,L61,"")))))))))))))))))))))))))))</f>
        <v/>
      </c>
      <c r="N45" s="260" t="str">
        <f>IF(U102=1,L60,IF(U102=2,"",IF(U102=3,L60+L61+L62,IF(AND(U102=4,L69=N69,L60&gt;=L61),L60+L61,IF(AND(U102=4,L69&lt;&gt;N69,L60=L61),L60,IF(AND(U102=4,L60&gt;L61,L69&gt;N69),L60,IF(AND(U102=4,L60&gt;L61,L69&lt;N69),L61,IF(U102=5,L60,IF(U102=6,L60,IF(U102=7,"",IF(U102=8,"",IF(U102=9,L60,IF(U102=10,L60,IF(AND(U102=11,L62=0),L60,IF(AND(U102=11,L62&gt;0,L62&lt;L60,N70&gt;=L69,N71&lt;=L69),L62,IF(AND(U102=11,L62&gt;0,L62&lt;L60,N70&lt;L69),L60,IF(AND(U102=11,L62&gt;0,L62=L60),L60,IF(U102=12,L60,IF(U102=13,L60,IF(U102=14,"",IF(U102=15,"",IF(U102=16,L60,IF(U102=17,L60,IF(U102=18,L60,IF(U102=19,L60,IF(U102=20,L60,IF(U102=21,L60,IF(U102=22,L60,IF(U102=23,L60,"")))))))))))))))))))))))))))))</f>
        <v/>
      </c>
    </row>
    <row r="46" spans="5:18" x14ac:dyDescent="0.25">
      <c r="I46" s="280"/>
      <c r="J46" s="260"/>
      <c r="K46" s="260"/>
      <c r="L46" s="260"/>
      <c r="M46" s="260"/>
      <c r="N46" s="260"/>
    </row>
    <row r="47" spans="5:18" x14ac:dyDescent="0.25">
      <c r="I47" s="280"/>
      <c r="J47" s="260"/>
      <c r="K47" s="260"/>
      <c r="L47" s="260"/>
      <c r="M47" s="260"/>
      <c r="N47" s="260"/>
    </row>
    <row r="48" spans="5:18" x14ac:dyDescent="0.25">
      <c r="I48" s="280"/>
      <c r="J48" s="260"/>
      <c r="K48" s="260"/>
      <c r="L48" s="260"/>
      <c r="M48" s="260"/>
      <c r="N48" s="260"/>
    </row>
    <row r="49" spans="2:21" ht="15" customHeight="1" x14ac:dyDescent="0.25">
      <c r="I49" s="86"/>
      <c r="J49" s="262" t="str">
        <f>TEXT(N60+N61+N62,"####0,0##")&amp;" m"</f>
        <v>10,0 m</v>
      </c>
      <c r="K49" s="262"/>
      <c r="L49" s="262"/>
      <c r="M49" s="262"/>
      <c r="N49" s="262"/>
      <c r="O49" s="86"/>
    </row>
    <row r="50" spans="2:21" ht="15" customHeight="1" x14ac:dyDescent="0.25">
      <c r="I50" s="86"/>
      <c r="J50" s="262"/>
      <c r="K50" s="262"/>
      <c r="L50" s="262"/>
      <c r="M50" s="262"/>
      <c r="N50" s="262"/>
      <c r="O50" s="86"/>
    </row>
    <row r="51" spans="2:21" ht="15" customHeight="1" x14ac:dyDescent="0.25">
      <c r="I51" s="86"/>
      <c r="J51" s="262"/>
      <c r="K51" s="262"/>
      <c r="L51" s="262"/>
      <c r="M51" s="262"/>
      <c r="N51" s="262"/>
      <c r="O51" s="86"/>
    </row>
    <row r="52" spans="2:21" ht="15" customHeight="1" x14ac:dyDescent="0.25">
      <c r="I52" s="86"/>
      <c r="J52" s="282" t="str">
        <f>"Wysokość  ze = "&amp;TEXT('Obliczenia wiatr II'!E42,"####0,0##")&amp;" m"</f>
        <v>Wysokość  ze = 25,0 m</v>
      </c>
      <c r="K52" s="282"/>
      <c r="L52" s="282"/>
      <c r="M52" s="282"/>
      <c r="N52" s="282"/>
      <c r="O52" s="86"/>
    </row>
    <row r="53" spans="2:21" ht="15" customHeight="1" x14ac:dyDescent="0.25">
      <c r="I53" s="86"/>
      <c r="J53" s="282"/>
      <c r="K53" s="282"/>
      <c r="L53" s="282"/>
      <c r="M53" s="282"/>
      <c r="N53" s="282"/>
      <c r="O53" s="86"/>
    </row>
    <row r="54" spans="2:21" ht="15" customHeight="1" x14ac:dyDescent="0.25">
      <c r="I54" s="86"/>
      <c r="J54" s="282"/>
      <c r="K54" s="282"/>
      <c r="L54" s="282"/>
      <c r="M54" s="282"/>
      <c r="N54" s="282"/>
      <c r="O54" s="86"/>
    </row>
    <row r="56" spans="2:21" x14ac:dyDescent="0.25">
      <c r="B56" s="71"/>
      <c r="H56" s="29"/>
      <c r="I56" s="29"/>
      <c r="J56" s="29"/>
      <c r="K56" s="29"/>
      <c r="L56" s="29"/>
      <c r="M56" s="29"/>
    </row>
    <row r="57" spans="2:21" x14ac:dyDescent="0.25">
      <c r="J57" s="249" t="s">
        <v>96</v>
      </c>
      <c r="K57" s="249"/>
      <c r="L57" s="249"/>
      <c r="M57" s="249"/>
      <c r="N57" s="249"/>
    </row>
    <row r="59" spans="2:21" x14ac:dyDescent="0.25">
      <c r="K59" s="13" t="s">
        <v>97</v>
      </c>
      <c r="L59" s="19" t="s">
        <v>98</v>
      </c>
      <c r="M59" s="13" t="s">
        <v>99</v>
      </c>
      <c r="N59" s="13" t="s">
        <v>100</v>
      </c>
    </row>
    <row r="60" spans="2:21" x14ac:dyDescent="0.25">
      <c r="J60" s="13" t="s">
        <v>101</v>
      </c>
      <c r="K60">
        <f>'Obliczenia wiatr II'!D35</f>
        <v>2</v>
      </c>
      <c r="L60">
        <f>'Obliczenia wiatr II'!E35</f>
        <v>5.6</v>
      </c>
      <c r="M60">
        <f>'Obliczenia wiatr II'!F35</f>
        <v>2</v>
      </c>
      <c r="N60">
        <f>'Obliczenia wiatr II'!G35</f>
        <v>5.6</v>
      </c>
      <c r="R60" s="16"/>
      <c r="S60" s="16"/>
      <c r="T60" s="16"/>
      <c r="U60" s="16"/>
    </row>
    <row r="61" spans="2:21" x14ac:dyDescent="0.25">
      <c r="J61" s="13" t="s">
        <v>102</v>
      </c>
      <c r="K61">
        <f>'Obliczenia wiatr II'!D36</f>
        <v>8</v>
      </c>
      <c r="L61">
        <f>'Obliczenia wiatr II'!E36</f>
        <v>4.4000000000000004</v>
      </c>
      <c r="M61">
        <f>'Obliczenia wiatr II'!F36</f>
        <v>8</v>
      </c>
      <c r="N61">
        <f>'Obliczenia wiatr II'!G36</f>
        <v>4.4000000000000004</v>
      </c>
      <c r="R61" s="16"/>
      <c r="S61" s="16"/>
      <c r="T61" s="16"/>
      <c r="U61" s="16"/>
    </row>
    <row r="62" spans="2:21" x14ac:dyDescent="0.25">
      <c r="J62" s="13" t="s">
        <v>103</v>
      </c>
      <c r="K62" s="18">
        <f>'Obliczenia wiatr II'!D37</f>
        <v>18</v>
      </c>
      <c r="L62" s="18">
        <f>'Obliczenia wiatr II'!E37</f>
        <v>0</v>
      </c>
      <c r="M62" s="18">
        <f>'Obliczenia wiatr II'!F37</f>
        <v>18</v>
      </c>
      <c r="N62" s="18">
        <f>'Obliczenia wiatr II'!G37</f>
        <v>0</v>
      </c>
    </row>
    <row r="63" spans="2:21" x14ac:dyDescent="0.25">
      <c r="J63" s="13"/>
    </row>
    <row r="64" spans="2:21" x14ac:dyDescent="0.25">
      <c r="J64" s="13" t="s">
        <v>104</v>
      </c>
      <c r="K64" s="18">
        <f>'Obliczenia wiatr II'!D29</f>
        <v>10</v>
      </c>
      <c r="L64" s="18">
        <f>'Obliczenia wiatr II'!E29</f>
        <v>28</v>
      </c>
      <c r="M64" s="18">
        <f>'Obliczenia wiatr II'!F29</f>
        <v>10</v>
      </c>
      <c r="N64" s="18">
        <f>'Obliczenia wiatr II'!G29</f>
        <v>28</v>
      </c>
    </row>
    <row r="66" spans="1:21" x14ac:dyDescent="0.25">
      <c r="J66" s="249" t="s">
        <v>105</v>
      </c>
      <c r="K66" s="249"/>
      <c r="L66" s="249"/>
      <c r="M66" s="249"/>
      <c r="N66" s="249"/>
    </row>
    <row r="67" spans="1:21" x14ac:dyDescent="0.25">
      <c r="A67" s="20"/>
      <c r="B67" s="20"/>
      <c r="C67" s="20"/>
      <c r="D67" s="20"/>
      <c r="E67" s="20"/>
      <c r="F67" s="20"/>
      <c r="G67" s="20"/>
      <c r="H67" s="20"/>
      <c r="I67" s="20"/>
      <c r="J67" s="20"/>
      <c r="K67" s="20"/>
      <c r="L67" s="20"/>
      <c r="M67" s="20"/>
      <c r="N67" s="20"/>
      <c r="O67" s="20"/>
      <c r="P67" s="20"/>
      <c r="Q67" s="20"/>
      <c r="R67" s="20"/>
      <c r="S67" s="20"/>
      <c r="T67" s="20"/>
      <c r="U67" s="20"/>
    </row>
    <row r="68" spans="1:21" x14ac:dyDescent="0.25">
      <c r="K68" s="13" t="s">
        <v>80</v>
      </c>
      <c r="L68" s="13" t="s">
        <v>81</v>
      </c>
      <c r="M68" s="13" t="s">
        <v>82</v>
      </c>
      <c r="N68" s="13" t="s">
        <v>83</v>
      </c>
    </row>
    <row r="69" spans="1:21" x14ac:dyDescent="0.25">
      <c r="J69" s="13" t="s">
        <v>106</v>
      </c>
      <c r="K69" s="6">
        <f>'Obliczenia wiatr II'!D93</f>
        <v>2.1392621695606677</v>
      </c>
      <c r="L69" s="6">
        <f>'Obliczenia wiatr II'!E93</f>
        <v>1.0482384630847272</v>
      </c>
      <c r="M69" s="6">
        <f>'Obliczenia wiatr II'!F93</f>
        <v>1.0482384630847272</v>
      </c>
      <c r="N69" s="6">
        <f>'Obliczenia wiatr II'!G93</f>
        <v>2.1392621695606677</v>
      </c>
    </row>
    <row r="70" spans="1:21" x14ac:dyDescent="0.25">
      <c r="J70" s="13" t="s">
        <v>107</v>
      </c>
      <c r="K70" s="6">
        <f>'Obliczenia wiatr II'!D94</f>
        <v>1.6808488475119534</v>
      </c>
      <c r="L70" s="6">
        <f>'Obliczenia wiatr II'!E94</f>
        <v>0.82361593528085719</v>
      </c>
      <c r="M70" s="6">
        <f>'Obliczenia wiatr II'!F94</f>
        <v>0.82361593528085719</v>
      </c>
      <c r="N70" s="6">
        <f>'Obliczenia wiatr II'!G94</f>
        <v>1.6808488475119534</v>
      </c>
    </row>
    <row r="71" spans="1:21" x14ac:dyDescent="0.25">
      <c r="J71" s="13" t="s">
        <v>108</v>
      </c>
      <c r="K71" s="6">
        <f>'Obliczenia wiatr II'!D95</f>
        <v>0.76402220341452431</v>
      </c>
      <c r="L71" s="6">
        <f>'Obliczenia wiatr II'!E95</f>
        <v>0</v>
      </c>
      <c r="M71" s="6">
        <f>'Obliczenia wiatr II'!F95</f>
        <v>0.37437087967311689</v>
      </c>
      <c r="N71" s="6">
        <f>'Obliczenia wiatr II'!G95</f>
        <v>0</v>
      </c>
    </row>
    <row r="72" spans="1:21" x14ac:dyDescent="0.25">
      <c r="J72" s="13" t="s">
        <v>109</v>
      </c>
      <c r="K72" s="6">
        <f>'Obliczenia wiatr II'!D96</f>
        <v>0.72036379179029142</v>
      </c>
      <c r="L72" s="6">
        <f>'Obliczenia wiatr II'!E96</f>
        <v>0.4305265116240844</v>
      </c>
      <c r="M72" s="6">
        <f>'Obliczenia wiatr II'!F96</f>
        <v>0.3529782579772428</v>
      </c>
      <c r="N72" s="6">
        <f>'Obliczenia wiatr II'!G96</f>
        <v>0.87862553392670284</v>
      </c>
    </row>
    <row r="74" spans="1:21" x14ac:dyDescent="0.25">
      <c r="C74" s="250" t="s">
        <v>110</v>
      </c>
      <c r="D74" s="250"/>
      <c r="E74" s="250"/>
      <c r="F74" s="250"/>
      <c r="G74" s="250"/>
      <c r="H74" s="250"/>
      <c r="I74" s="250"/>
      <c r="J74" s="250"/>
      <c r="K74" s="250"/>
      <c r="L74" s="250"/>
      <c r="M74" s="250"/>
      <c r="N74" s="250"/>
      <c r="O74" s="250"/>
      <c r="P74" s="250"/>
      <c r="Q74" s="250"/>
      <c r="R74" s="250"/>
      <c r="S74" s="250"/>
      <c r="T74" s="250"/>
      <c r="U74" s="250"/>
    </row>
    <row r="76" spans="1:21" x14ac:dyDescent="0.25">
      <c r="C76" s="250" t="s">
        <v>111</v>
      </c>
      <c r="D76" s="250"/>
      <c r="E76" s="250"/>
      <c r="F76" s="250"/>
      <c r="H76" s="250" t="s">
        <v>112</v>
      </c>
      <c r="I76" s="250"/>
      <c r="J76" s="250"/>
      <c r="K76" s="250"/>
      <c r="M76" s="250" t="s">
        <v>113</v>
      </c>
      <c r="N76" s="250"/>
      <c r="O76" s="250"/>
      <c r="P76" s="250"/>
      <c r="Q76" s="16"/>
      <c r="R76" s="250" t="s">
        <v>114</v>
      </c>
      <c r="S76" s="250"/>
      <c r="T76" s="250"/>
      <c r="U76" s="250"/>
    </row>
    <row r="77" spans="1:21" x14ac:dyDescent="0.25">
      <c r="C77" s="69"/>
      <c r="D77" s="69"/>
      <c r="E77" s="69"/>
      <c r="F77" s="69"/>
      <c r="H77" s="69"/>
      <c r="I77" s="69"/>
      <c r="J77" s="69"/>
      <c r="K77" s="69"/>
      <c r="M77" s="69"/>
      <c r="N77" s="69"/>
      <c r="O77" s="69"/>
      <c r="P77" s="69"/>
      <c r="Q77" s="16"/>
      <c r="R77" s="69"/>
      <c r="S77" s="69"/>
      <c r="T77" s="69"/>
      <c r="U77" s="69"/>
    </row>
    <row r="78" spans="1:21" x14ac:dyDescent="0.25">
      <c r="C78" s="71">
        <v>1</v>
      </c>
      <c r="D78" s="261" t="s">
        <v>115</v>
      </c>
      <c r="E78" s="261"/>
      <c r="F78">
        <f>IF(AND(K60&gt;0,K61=0,K62=0,K69&gt;=M69,L72&lt;=K69),1,0)</f>
        <v>0</v>
      </c>
      <c r="H78" s="71">
        <v>1</v>
      </c>
      <c r="I78" s="261" t="s">
        <v>116</v>
      </c>
      <c r="J78" s="261"/>
      <c r="K78">
        <f>IF(AND(L60&gt;0,L61=0,L62=0,L69&gt;=N69,M72&lt;=L69),1,0)</f>
        <v>0</v>
      </c>
      <c r="M78" s="71">
        <v>1</v>
      </c>
      <c r="N78" s="261" t="s">
        <v>115</v>
      </c>
      <c r="O78" s="261"/>
      <c r="P78">
        <f>IF(AND(K60&gt;0,K61=0,K62=0,K69&gt;=M69,N72&lt;=K69),1,0)</f>
        <v>0</v>
      </c>
      <c r="R78" s="71">
        <v>1</v>
      </c>
      <c r="S78" s="261" t="s">
        <v>116</v>
      </c>
      <c r="T78" s="261"/>
      <c r="U78">
        <f>IF(AND(L60&gt;0,L61=0,L62=0,L69&gt;=N69,K72&lt;=L69),1,0)</f>
        <v>0</v>
      </c>
    </row>
    <row r="79" spans="1:21" x14ac:dyDescent="0.25">
      <c r="C79" s="71">
        <v>2</v>
      </c>
      <c r="D79" s="261" t="s">
        <v>117</v>
      </c>
      <c r="E79" s="261"/>
      <c r="F79">
        <f>IF(AND(K60&gt;0,K61=0,K62=0,M69&gt;K69,L72&lt;=M69),2,0)</f>
        <v>0</v>
      </c>
      <c r="H79" s="71">
        <v>2</v>
      </c>
      <c r="I79" s="261" t="s">
        <v>118</v>
      </c>
      <c r="J79" s="261"/>
      <c r="K79">
        <f>IF(AND(L60&gt;0,L61=0,L62=0,N69&gt;L69,M72&lt;=N69),2,0)</f>
        <v>0</v>
      </c>
      <c r="M79" s="71">
        <v>2</v>
      </c>
      <c r="N79" s="261" t="s">
        <v>117</v>
      </c>
      <c r="O79" s="261"/>
      <c r="P79">
        <f>IF(AND(K60&gt;0,K61=0,K62=0,M69&gt;K69,N72&lt;=M69),2,0)</f>
        <v>0</v>
      </c>
      <c r="R79" s="71">
        <v>2</v>
      </c>
      <c r="S79" s="261" t="s">
        <v>118</v>
      </c>
      <c r="T79" s="261"/>
      <c r="U79">
        <f>IF(AND(L60&gt;0,L61=0,L62=0,N69&gt;L69,K72&lt;=N69),2,0)</f>
        <v>0</v>
      </c>
    </row>
    <row r="80" spans="1:21" x14ac:dyDescent="0.25">
      <c r="C80" s="71">
        <v>3</v>
      </c>
      <c r="D80" s="261" t="s">
        <v>119</v>
      </c>
      <c r="E80" s="261"/>
      <c r="F80">
        <f>IF(AND(K60&gt;0,K61&gt;=0,K62&gt;=0,L72&gt;K69,L72&gt;M69),3,0)</f>
        <v>0</v>
      </c>
      <c r="H80" s="71">
        <v>3</v>
      </c>
      <c r="I80" s="261" t="s">
        <v>120</v>
      </c>
      <c r="J80" s="261"/>
      <c r="K80">
        <f>IF(AND(L60&gt;0,L61&gt;=0,L62&gt;=0,M72&gt;L69,M72&gt;N69),3,0)</f>
        <v>0</v>
      </c>
      <c r="M80" s="71">
        <v>3</v>
      </c>
      <c r="N80" s="261" t="s">
        <v>121</v>
      </c>
      <c r="O80" s="261"/>
      <c r="P80">
        <f>IF(AND(K60&gt;0,K61&gt;=0,K62&gt;=0,L72&gt;K69,N72&gt;M69),3,0)</f>
        <v>0</v>
      </c>
      <c r="R80" s="71">
        <v>3</v>
      </c>
      <c r="S80" s="261" t="s">
        <v>122</v>
      </c>
      <c r="T80" s="261"/>
      <c r="U80">
        <f>IF(AND(L60&gt;0,L61&gt;=0,L62&gt;=0,K72&gt;L69,K72&gt;N69),3,0)</f>
        <v>0</v>
      </c>
    </row>
    <row r="81" spans="2:21" x14ac:dyDescent="0.25">
      <c r="B81" s="16"/>
      <c r="C81" s="71">
        <v>4</v>
      </c>
      <c r="D81" s="261" t="s">
        <v>123</v>
      </c>
      <c r="E81" s="261"/>
      <c r="F81">
        <f>IF(AND(K60&gt;0,K61&gt;0,K62=0,K60&gt;=K61,K69&gt;=M70,M69&gt;=K70,L72&lt;=K69,L72&lt;=M69),4,0)</f>
        <v>0</v>
      </c>
      <c r="H81" s="71">
        <v>4</v>
      </c>
      <c r="I81" s="261" t="s">
        <v>124</v>
      </c>
      <c r="J81" s="261"/>
      <c r="K81">
        <f>IF(AND(L60&gt;0,L61&gt;0,L62=0,L60&gt;=L61,L69&gt;=N70,N69&gt;=L70,M72&lt;=L69,M72&lt;=N69),4,0)</f>
        <v>0</v>
      </c>
      <c r="M81" s="71">
        <v>4</v>
      </c>
      <c r="N81" s="261" t="s">
        <v>123</v>
      </c>
      <c r="O81" s="261"/>
      <c r="P81">
        <f>IF(AND(K60&gt;0,K61&gt;0,K62=0,K60&gt;=K61,K69&gt;=M70,M69&gt;=K70,N72&lt;=K69,N72&lt;=M69),4,0)</f>
        <v>0</v>
      </c>
      <c r="R81" s="71">
        <v>4</v>
      </c>
      <c r="S81" s="261" t="s">
        <v>124</v>
      </c>
      <c r="T81" s="261"/>
      <c r="U81">
        <f>IF(AND(L60&gt;0,L61&gt;0,L62=0,L60&gt;=L61,L69&gt;=N70,N69&gt;=L70,K72&lt;=L69,K72&lt;=N69),4,0)</f>
        <v>0</v>
      </c>
    </row>
    <row r="82" spans="2:21" x14ac:dyDescent="0.25">
      <c r="C82" s="71">
        <v>5</v>
      </c>
      <c r="D82" s="261" t="s">
        <v>125</v>
      </c>
      <c r="E82" s="261"/>
      <c r="F82">
        <f>IF(AND(K60&gt;0,K61&gt;0,K62=0,K70&gt;=M69,L72&lt;=K70),5,0)</f>
        <v>0</v>
      </c>
      <c r="H82" s="71">
        <v>5</v>
      </c>
      <c r="I82" s="261" t="s">
        <v>126</v>
      </c>
      <c r="J82" s="261"/>
      <c r="K82">
        <f>IF(AND(L60&gt;0,L61&gt;0,L62=0,L70&gt;=N69,M72&lt;=L70),5,0)</f>
        <v>0</v>
      </c>
      <c r="M82" s="71">
        <v>5</v>
      </c>
      <c r="N82" s="261" t="s">
        <v>125</v>
      </c>
      <c r="O82" s="261"/>
      <c r="P82">
        <f>IF(AND(K60&gt;0,K61&gt;0,K62=0,K70&gt;=M69,N72&lt;=K70),5,0)</f>
        <v>0</v>
      </c>
      <c r="R82" s="71">
        <v>5</v>
      </c>
      <c r="S82" s="261" t="s">
        <v>126</v>
      </c>
      <c r="T82" s="261"/>
      <c r="U82">
        <f>IF(AND(L60&gt;0,L61&gt;0,L62=0,L70&gt;=N69,K72&lt;=L70),5,0)</f>
        <v>0</v>
      </c>
    </row>
    <row r="83" spans="2:21" x14ac:dyDescent="0.25">
      <c r="C83" s="71">
        <v>6</v>
      </c>
      <c r="D83" s="261" t="s">
        <v>127</v>
      </c>
      <c r="E83" s="261"/>
      <c r="F83">
        <f>IF(AND(K60&gt;0,K61&gt;0,K62&gt;=0,L72&lt;K69,L72&gt;K70,L72&gt;M69),6,0)</f>
        <v>0</v>
      </c>
      <c r="H83" s="71">
        <v>6</v>
      </c>
      <c r="I83" s="261" t="s">
        <v>128</v>
      </c>
      <c r="J83" s="261"/>
      <c r="K83">
        <f>IF(AND(L60&gt;0,L61&gt;0,L62=0,M72&lt;L69,M72&gt;L70,M72&gt;N69),6,0)</f>
        <v>0</v>
      </c>
      <c r="M83" s="71">
        <v>6</v>
      </c>
      <c r="N83" s="261" t="s">
        <v>129</v>
      </c>
      <c r="O83" s="261"/>
      <c r="P83">
        <f>IF(AND(K60&gt;0,K61&gt;0,K62&gt;=0,N72&lt;K69,N72&gt;K70,N72&gt;M69),6,0)</f>
        <v>0</v>
      </c>
      <c r="R83" s="71">
        <v>6</v>
      </c>
      <c r="S83" s="261" t="s">
        <v>130</v>
      </c>
      <c r="T83" s="261"/>
      <c r="U83">
        <f>IF(AND(L60&gt;0,L61&gt;0,L62=0,K72&lt;L69,K72&gt;L70,K72&gt;N69),6,0)</f>
        <v>0</v>
      </c>
    </row>
    <row r="84" spans="2:21" x14ac:dyDescent="0.25">
      <c r="C84" s="71">
        <v>7</v>
      </c>
      <c r="D84" s="261" t="s">
        <v>131</v>
      </c>
      <c r="E84" s="261"/>
      <c r="F84">
        <f>IF(AND(K60&gt;0,K61&gt;0,K62=0,M70&gt;=K69,L72&lt;=M70),7,0)</f>
        <v>0</v>
      </c>
      <c r="H84" s="71">
        <v>7</v>
      </c>
      <c r="I84" s="261" t="s">
        <v>132</v>
      </c>
      <c r="J84" s="261"/>
      <c r="K84">
        <f>IF(AND(L60&gt;0,L61&gt;0,L62=0,N70&gt;=L69,M72&lt;=N70),7,0)</f>
        <v>7</v>
      </c>
      <c r="L84" s="16"/>
      <c r="M84" s="71">
        <v>7</v>
      </c>
      <c r="N84" s="261" t="s">
        <v>131</v>
      </c>
      <c r="O84" s="261"/>
      <c r="P84">
        <f>IF(AND(K60&gt;0,K61&gt;0,K62=0,M70&gt;=K69,N72&lt;=M70),7,0)</f>
        <v>0</v>
      </c>
      <c r="R84" s="71">
        <v>7</v>
      </c>
      <c r="S84" s="261" t="s">
        <v>132</v>
      </c>
      <c r="T84" s="261"/>
      <c r="U84">
        <f>IF(AND(L60&gt;0,L61&gt;0,L62=0,N70&gt;=L69,K72&lt;=N70),7,0)</f>
        <v>7</v>
      </c>
    </row>
    <row r="85" spans="2:21" x14ac:dyDescent="0.25">
      <c r="C85" s="71">
        <v>8</v>
      </c>
      <c r="D85" s="261" t="s">
        <v>133</v>
      </c>
      <c r="E85" s="261"/>
      <c r="F85">
        <f>IF(AND(K60&gt;0,K61&gt;0,K62&gt;=0,L72&lt;M69,L72&gt;M70,L72&gt;K69),8,0)</f>
        <v>0</v>
      </c>
      <c r="H85" s="71">
        <v>8</v>
      </c>
      <c r="I85" s="261" t="s">
        <v>134</v>
      </c>
      <c r="J85" s="261"/>
      <c r="K85">
        <f>IF(AND(L60&gt;0,L61&gt;0,L62&gt;=0,M72&lt;N69,M72&gt;N70,M72&gt;L69),8,0)</f>
        <v>0</v>
      </c>
      <c r="M85" s="71">
        <v>8</v>
      </c>
      <c r="N85" s="261" t="s">
        <v>135</v>
      </c>
      <c r="O85" s="261"/>
      <c r="P85">
        <f>IF(AND(K60&gt;0,K61&gt;0,K62&gt;=0,N72&lt;M69,N72&gt;M70,N72&gt;K69),8,0)</f>
        <v>0</v>
      </c>
      <c r="R85" s="71">
        <v>8</v>
      </c>
      <c r="S85" s="261" t="s">
        <v>136</v>
      </c>
      <c r="T85" s="261"/>
      <c r="U85">
        <f>IF(AND(L60&gt;0,L61&gt;0,L62&gt;=0,K72&lt;N69,K72&gt;N70,K72&gt;L69),8,0)</f>
        <v>0</v>
      </c>
    </row>
    <row r="86" spans="2:21" x14ac:dyDescent="0.25">
      <c r="C86" s="71">
        <v>9</v>
      </c>
      <c r="D86" s="261" t="s">
        <v>137</v>
      </c>
      <c r="E86" s="261"/>
      <c r="F86">
        <f>IF(AND(K60&gt;0,K61&gt;0,K62&gt;0,K71&gt;=M69,L72&lt;=K71),9,0)</f>
        <v>0</v>
      </c>
      <c r="H86" s="71">
        <v>9</v>
      </c>
      <c r="I86" s="261" t="s">
        <v>138</v>
      </c>
      <c r="J86" s="261"/>
      <c r="K86">
        <f>IF(AND(L60&gt;0,L61&gt;0,L62&gt;0,L71&gt;=N69,M72&lt;=L71),9,0)</f>
        <v>0</v>
      </c>
      <c r="M86" s="71">
        <v>9</v>
      </c>
      <c r="N86" s="261" t="s">
        <v>137</v>
      </c>
      <c r="O86" s="261"/>
      <c r="P86">
        <f>IF(AND(K60&gt;0,K61&gt;0,K62&gt;0,K71&gt;=M69,N72&lt;=K71),9,0)</f>
        <v>0</v>
      </c>
      <c r="R86" s="71">
        <v>9</v>
      </c>
      <c r="S86" s="261" t="s">
        <v>138</v>
      </c>
      <c r="T86" s="261"/>
      <c r="U86">
        <f>IF(AND(L60&gt;0,L61&gt;0,L62&gt;0,L71&gt;=N69,K72&lt;=L71),9,0)</f>
        <v>0</v>
      </c>
    </row>
    <row r="87" spans="2:21" x14ac:dyDescent="0.25">
      <c r="B87" s="16"/>
      <c r="C87" s="71">
        <v>10</v>
      </c>
      <c r="D87" s="261" t="s">
        <v>139</v>
      </c>
      <c r="E87" s="261"/>
      <c r="F87">
        <f>IF(AND(K60&gt;0,K61&gt;0,K62&gt;=0,K62&lt;=K60,K60&lt;K61,K70&gt;=M70,IF(K62=0,M69&gt;K70,M69&gt;K71),L72&lt;=K70,L72&lt;=M69),10,0)</f>
        <v>0</v>
      </c>
      <c r="G87" s="16"/>
      <c r="H87" s="71">
        <v>10</v>
      </c>
      <c r="I87" s="261" t="s">
        <v>140</v>
      </c>
      <c r="J87" s="261"/>
      <c r="K87">
        <f>IF(AND(L60&gt;0,L61&gt;0,L62&gt;=0,L62&lt;=L60,L60&lt;L61,L70&gt;=N70,IF(L62=0,N69&gt;L70,N69&gt;L71),M72&lt;=L70,M72&lt;=N69),10,0)</f>
        <v>0</v>
      </c>
      <c r="L87" s="16"/>
      <c r="M87" s="71">
        <v>10</v>
      </c>
      <c r="N87" s="261" t="s">
        <v>139</v>
      </c>
      <c r="O87" s="261"/>
      <c r="P87">
        <f>IF(AND(K60&gt;0,K61&gt;0,K62&gt;=0,K62&lt;=K60,K60&lt;K61,K70&gt;=M70,IF(K62=0,M69&gt;K70,M69&gt;K71),N72&lt;=K70,N72&lt;=M69),10,0)</f>
        <v>0</v>
      </c>
      <c r="Q87" s="16"/>
      <c r="R87" s="71">
        <v>10</v>
      </c>
      <c r="S87" s="261" t="s">
        <v>140</v>
      </c>
      <c r="T87" s="261"/>
      <c r="U87">
        <f>IF(AND(L60&gt;0,L61&gt;0,L62&gt;=0,L62&lt;=L60,L60&lt;L61,L70&gt;=N70,IF(L62=0,N69&gt;L70,N69&gt;L71),K72&lt;=L70,K72&lt;=N69),10,0)</f>
        <v>0</v>
      </c>
    </row>
    <row r="88" spans="2:21" x14ac:dyDescent="0.25">
      <c r="B88" s="16"/>
      <c r="C88" s="71">
        <v>11</v>
      </c>
      <c r="D88" s="261" t="s">
        <v>141</v>
      </c>
      <c r="E88" s="261"/>
      <c r="F88">
        <f>IF(AND(K60&gt;0,K61&gt;0,K62&gt;=0,K62&lt;=K60,K60&lt;K61,M70&gt;K70,IF(K62=0,K69&gt;M70,K69&gt;M71),L72&lt;=M70,L72&lt;=K69),11,0)</f>
        <v>0</v>
      </c>
      <c r="G88" s="16"/>
      <c r="H88" s="71">
        <v>11</v>
      </c>
      <c r="I88" s="261" t="s">
        <v>142</v>
      </c>
      <c r="J88" s="261"/>
      <c r="K88">
        <f>IF(AND(L60&gt;0,L61&gt;0,L62&gt;=0,L62&lt;=L60,L60&lt;L61,N70&gt;L70,IF(L62=0,L69&gt;N70,L69&gt;N71),M72&lt;=N70,M72&lt;=L69),11,0)</f>
        <v>0</v>
      </c>
      <c r="L88" s="16"/>
      <c r="M88" s="71">
        <v>11</v>
      </c>
      <c r="N88" s="261" t="s">
        <v>141</v>
      </c>
      <c r="O88" s="261"/>
      <c r="P88">
        <f>IF(AND(K60&gt;0,K61&gt;0,K62&gt;=0,K62&lt;=K60,K60&lt;K61,M70&gt;K70,IF(K62=0,K69&gt;M70,K69&gt;M71),N72&lt;=M70,N72&lt;=K69),11,0)</f>
        <v>0</v>
      </c>
      <c r="Q88" s="16"/>
      <c r="R88" s="71">
        <v>11</v>
      </c>
      <c r="S88" s="261" t="s">
        <v>142</v>
      </c>
      <c r="T88" s="261"/>
      <c r="U88">
        <f>IF(AND(L60&gt;0,L61&gt;0,L62&gt;=0,L62&lt;=L60,L60&lt;L61,N70&gt;L70,IF(L62=0,L69&gt;N70,L69&gt;N71),K72&lt;=N70,K72&lt;=L69),11,0)</f>
        <v>0</v>
      </c>
    </row>
    <row r="89" spans="2:21" x14ac:dyDescent="0.25">
      <c r="C89" s="71">
        <v>12</v>
      </c>
      <c r="D89" s="261" t="s">
        <v>143</v>
      </c>
      <c r="E89" s="261"/>
      <c r="F89">
        <f>IF(AND(K60&gt;0,K61&gt;0,K62&gt;0,L72&lt;K70,L72&gt;M69,L72&gt;K71),12,0)</f>
        <v>0</v>
      </c>
      <c r="H89" s="71">
        <v>12</v>
      </c>
      <c r="I89" s="261" t="s">
        <v>144</v>
      </c>
      <c r="J89" s="261"/>
      <c r="K89">
        <f>IF(AND(L60&gt;0,L61&gt;0,L62&gt;0,M72&lt;L70,M72&gt;N69,M72&gt;L71),12,0)</f>
        <v>0</v>
      </c>
      <c r="M89" s="71">
        <v>12</v>
      </c>
      <c r="N89" s="261" t="s">
        <v>145</v>
      </c>
      <c r="O89" s="261"/>
      <c r="P89">
        <f>IF(AND(K60&gt;0,K61&gt;0,K62&gt;0,L72&lt;K70,N72&gt;M69,N72&gt;K71),12,0)</f>
        <v>0</v>
      </c>
      <c r="R89" s="71">
        <v>12</v>
      </c>
      <c r="S89" s="261" t="s">
        <v>146</v>
      </c>
      <c r="T89" s="261"/>
      <c r="U89">
        <f>IF(AND(L60&gt;0,L61&gt;0,L62&gt;0,K72&lt;L70,K72&gt;N69,K72&gt;L71),12,0)</f>
        <v>0</v>
      </c>
    </row>
    <row r="90" spans="2:21" x14ac:dyDescent="0.25">
      <c r="C90" s="71">
        <v>13</v>
      </c>
      <c r="D90" s="261" t="s">
        <v>147</v>
      </c>
      <c r="E90" s="261"/>
      <c r="F90">
        <f>IF(AND(K60&gt;0,K60&lt;K61,K62&gt;=0,L72&lt;K69,L72&lt;M69,L72&gt;K70,L72&gt;M70),13,0)</f>
        <v>0</v>
      </c>
      <c r="H90" s="71">
        <v>13</v>
      </c>
      <c r="I90" s="261" t="s">
        <v>148</v>
      </c>
      <c r="J90" s="261"/>
      <c r="K90">
        <f>IF(AND(L60&gt;0,L60&lt;L61,L62&gt;=0,M72&lt;L69,M72&lt;N69,M72&gt;L70,M72&gt;N70),13,0)</f>
        <v>0</v>
      </c>
      <c r="M90" s="71">
        <v>13</v>
      </c>
      <c r="N90" s="261" t="s">
        <v>149</v>
      </c>
      <c r="O90" s="261"/>
      <c r="P90">
        <f>IF(AND(K60&gt;0,K60&lt;K61,K62&gt;=0,N72&lt;K69,N72&lt;M69,N72&gt;K70,N72&gt;M70),13,0)</f>
        <v>0</v>
      </c>
      <c r="R90" s="71">
        <v>13</v>
      </c>
      <c r="S90" s="261" t="s">
        <v>150</v>
      </c>
      <c r="T90" s="261"/>
      <c r="U90">
        <f>IF(AND(L60&gt;0,L60&lt;L61,L62&gt;=0,K72&lt;L69,K72&lt;N69,K72&gt;L70,K72&gt;N70),13,0)</f>
        <v>0</v>
      </c>
    </row>
    <row r="91" spans="2:21" x14ac:dyDescent="0.25">
      <c r="C91" s="71">
        <v>14</v>
      </c>
      <c r="D91" s="261" t="s">
        <v>151</v>
      </c>
      <c r="E91" s="261"/>
      <c r="F91">
        <f>IF(AND(K60&gt;0,K61&gt;0,K62&gt;0,M71&gt;=K69,L72&lt;=M71),14,0)</f>
        <v>0</v>
      </c>
      <c r="H91" s="71">
        <v>14</v>
      </c>
      <c r="I91" s="261" t="s">
        <v>152</v>
      </c>
      <c r="J91" s="261"/>
      <c r="K91">
        <f>IF(AND(L60&gt;0,L61&gt;0,L62&gt;0,N71&gt;=L69,M72&lt;=N71),14,0)</f>
        <v>0</v>
      </c>
      <c r="M91" s="71">
        <v>14</v>
      </c>
      <c r="N91" s="261" t="s">
        <v>151</v>
      </c>
      <c r="O91" s="261"/>
      <c r="P91">
        <f>IF(AND(K60&gt;0,K61&gt;0,K62&gt;0,M71&gt;=K69,N72&lt;=M71),14,0)</f>
        <v>0</v>
      </c>
      <c r="R91" s="71">
        <v>14</v>
      </c>
      <c r="S91" s="261" t="s">
        <v>152</v>
      </c>
      <c r="T91" s="261"/>
      <c r="U91">
        <f>IF(AND(L60&gt;0,L61&gt;0,L62&gt;0,N71&gt;=L69,K72&lt;=N71),14,0)</f>
        <v>0</v>
      </c>
    </row>
    <row r="92" spans="2:21" x14ac:dyDescent="0.25">
      <c r="C92" s="71">
        <v>15</v>
      </c>
      <c r="D92" s="261" t="s">
        <v>153</v>
      </c>
      <c r="E92" s="261"/>
      <c r="F92">
        <f>IF(AND(K60&gt;0,K61&gt;0,K62&gt;0,L72&lt;M70,L72&gt;K69,L72&gt;M71),15,0)</f>
        <v>0</v>
      </c>
      <c r="H92" s="71">
        <v>15</v>
      </c>
      <c r="I92" s="261" t="s">
        <v>154</v>
      </c>
      <c r="J92" s="261"/>
      <c r="K92">
        <f>IF(AND(L60&gt;0,L61&gt;0,L62&gt;0,M72&lt;N70,M72&gt;L69,M72&gt;N71),15,0)</f>
        <v>0</v>
      </c>
      <c r="M92" s="71">
        <v>15</v>
      </c>
      <c r="N92" s="261" t="s">
        <v>155</v>
      </c>
      <c r="O92" s="261"/>
      <c r="P92">
        <f>IF(AND(K60&gt;0,K61&gt;0,K62&gt;0,N72&lt;M70,N72&gt;K69,N72&gt;M71),15,0)</f>
        <v>0</v>
      </c>
      <c r="R92" s="71">
        <v>15</v>
      </c>
      <c r="S92" s="261" t="s">
        <v>156</v>
      </c>
      <c r="T92" s="261"/>
      <c r="U92">
        <f>IF(AND(L60&gt;0,L61&gt;0,L62&gt;0,K72&lt;N70,K72&gt;L69,K72&gt;N71),15,0)</f>
        <v>0</v>
      </c>
    </row>
    <row r="93" spans="2:21" x14ac:dyDescent="0.25">
      <c r="C93" s="71">
        <v>16</v>
      </c>
      <c r="D93" s="261" t="s">
        <v>157</v>
      </c>
      <c r="E93" s="261"/>
      <c r="F93">
        <f>IF(AND(K60&gt;0,K61&gt;0,K62&gt;0,K62&gt;K60,K71&gt;=M70,K71&lt;M69,L72&lt;=K71),16,0)</f>
        <v>0</v>
      </c>
      <c r="H93" s="71">
        <v>16</v>
      </c>
      <c r="I93" s="261" t="s">
        <v>158</v>
      </c>
      <c r="J93" s="261"/>
      <c r="K93">
        <f>IF(AND(L60&gt;0,L61&gt;0,L62&gt;0,L62&gt;L60,L71&gt;=N70,L71&lt;N69,M72&lt;=L71),16,0)</f>
        <v>0</v>
      </c>
      <c r="M93" s="71">
        <v>16</v>
      </c>
      <c r="N93" s="261" t="s">
        <v>157</v>
      </c>
      <c r="O93" s="261"/>
      <c r="P93">
        <f>IF(AND(K60&gt;0,K61&gt;0,K62&gt;0,K62&gt;K60,K71&gt;=M70,K71&lt;M69,N72&lt;=K71),16,0)</f>
        <v>0</v>
      </c>
      <c r="R93" s="71">
        <v>16</v>
      </c>
      <c r="S93" s="261" t="s">
        <v>158</v>
      </c>
      <c r="T93" s="261"/>
      <c r="U93">
        <f>IF(AND(L60&gt;0,L61&gt;0,L62&gt;0,L62&gt;L60,L71&gt;=N70,L71&lt;N69,K72&lt;=L71),16,0)</f>
        <v>0</v>
      </c>
    </row>
    <row r="94" spans="2:21" x14ac:dyDescent="0.25">
      <c r="B94" s="16"/>
      <c r="C94" s="71">
        <v>17</v>
      </c>
      <c r="D94" s="261" t="s">
        <v>159</v>
      </c>
      <c r="E94" s="261"/>
      <c r="F94">
        <f>IF(AND(K60&gt;0,K61&gt;0,K62&gt;0,K62&gt;K60,K62&lt;=K60+K61,K71&lt;M70,M71&lt;K70,L72&lt;=M70,L72&lt;=K70),17,0)</f>
        <v>0</v>
      </c>
      <c r="H94" s="71">
        <v>17</v>
      </c>
      <c r="I94" s="261" t="s">
        <v>160</v>
      </c>
      <c r="J94" s="261"/>
      <c r="K94">
        <f>IF(AND(L60&gt;0,L61&gt;0,L62&gt;0,L62&gt;L60,L62&lt;=L60+L61,L71&lt;N70,N71&lt;L70,M72&lt;=N70,M72&lt;=L70),17,0)</f>
        <v>0</v>
      </c>
      <c r="M94" s="71">
        <v>17</v>
      </c>
      <c r="N94" s="261" t="s">
        <v>159</v>
      </c>
      <c r="O94" s="261"/>
      <c r="P94">
        <f>IF(AND(K60&gt;0,K61&gt;0,K62&gt;0,K62&gt;K60,K62&lt;=K60+K61,K71&lt;M70,M71&lt;K70,N72&lt;=M70,N72&lt;=K70),17,0)</f>
        <v>0</v>
      </c>
      <c r="R94" s="71">
        <v>17</v>
      </c>
      <c r="S94" s="261" t="s">
        <v>160</v>
      </c>
      <c r="T94" s="261"/>
      <c r="U94">
        <f>IF(AND(L60&gt;0,L61&gt;0,L62&gt;0,L62&gt;L60,L62&lt;=L60+L61,L71&lt;N70,N71&lt;L70,K72&lt;=N70,K72&lt;=L70),17,0)</f>
        <v>0</v>
      </c>
    </row>
    <row r="95" spans="2:21" x14ac:dyDescent="0.25">
      <c r="C95" s="71">
        <v>18</v>
      </c>
      <c r="D95" s="261" t="s">
        <v>161</v>
      </c>
      <c r="E95" s="261"/>
      <c r="F95" s="16">
        <f>IF(AND(K60&gt;0,K61&gt;0,K62&gt;0,K62&gt;K60,M71&gt;=K70,M71&lt;K69,L72&lt;=M71),18,0)</f>
        <v>0</v>
      </c>
      <c r="H95" s="71">
        <v>18</v>
      </c>
      <c r="I95" s="261" t="s">
        <v>162</v>
      </c>
      <c r="J95" s="261"/>
      <c r="K95">
        <f>IF(AND(L60&gt;0,L61&gt;0,L62&gt;0,L62&gt;L60,N71&gt;=L70,N71&lt;L69,M72&lt;=N71),18,0)</f>
        <v>0</v>
      </c>
      <c r="M95" s="71">
        <v>18</v>
      </c>
      <c r="N95" s="261" t="s">
        <v>161</v>
      </c>
      <c r="O95" s="261"/>
      <c r="P95">
        <f>IF(AND(K60&gt;0,K61&gt;0,K62&gt;0,K62&gt;K60,M71&gt;=K70,M71&lt;K69,N72&lt;=M71),18,0)</f>
        <v>0</v>
      </c>
      <c r="R95" s="71">
        <v>18</v>
      </c>
      <c r="S95" s="261" t="s">
        <v>162</v>
      </c>
      <c r="T95" s="261"/>
      <c r="U95">
        <f>IF(AND(L60&gt;0,L61&gt;0,L62&gt;0,L62&gt;L60,N71&gt;=L70,N71&lt;L69,K72&lt;=N71),18,0)</f>
        <v>0</v>
      </c>
    </row>
    <row r="96" spans="2:21" x14ac:dyDescent="0.25">
      <c r="C96" s="71">
        <v>19</v>
      </c>
      <c r="D96" s="261" t="s">
        <v>163</v>
      </c>
      <c r="E96" s="261"/>
      <c r="F96">
        <f>IF(AND(K60&gt;0,K61&gt;0,K62&gt;0,K62&gt;K60,L72&lt;M69,L72&gt;K71,L72&gt;M70,L72&lt;K70),19,0)</f>
        <v>0</v>
      </c>
      <c r="H96" s="71">
        <v>19</v>
      </c>
      <c r="I96" s="261" t="s">
        <v>164</v>
      </c>
      <c r="J96" s="261"/>
      <c r="K96">
        <f>IF(AND(L60&gt;0,L61&gt;0,L62&gt;0,L62&gt;L60,M72&lt;N69,M72&gt;L71,M72&gt;N70,M72&lt;L70),19,0)</f>
        <v>0</v>
      </c>
      <c r="M96" s="71">
        <v>19</v>
      </c>
      <c r="N96" s="261" t="s">
        <v>165</v>
      </c>
      <c r="O96" s="261"/>
      <c r="P96">
        <f>IF(AND(K60&gt;0,K61&gt;0,K62&gt;0,K62&gt;K60,N72&lt;M69,N72&gt;K71,N72&gt;M70,N72&lt;K70),19,0)</f>
        <v>19</v>
      </c>
      <c r="R96" s="71">
        <v>19</v>
      </c>
      <c r="S96" s="261" t="s">
        <v>166</v>
      </c>
      <c r="T96" s="261"/>
      <c r="U96">
        <f>IF(AND(L60&gt;0,L61&gt;0,L62&gt;0,L62&gt;L60,K72&lt;N69,K72&gt;L71,K72&gt;N70,K72&lt;L70),19,0)</f>
        <v>0</v>
      </c>
    </row>
    <row r="97" spans="3:21" x14ac:dyDescent="0.25">
      <c r="C97" s="71">
        <v>20</v>
      </c>
      <c r="D97" s="261" t="s">
        <v>167</v>
      </c>
      <c r="E97" s="261"/>
      <c r="F97" s="16">
        <f>IF(AND(K60&gt;0,K61&gt;0,K62&gt;0,K62&gt;K60,L72&lt;K69,L72&gt;M71,L72&gt;K70,L72&lt;M70),20,0)</f>
        <v>0</v>
      </c>
      <c r="H97" s="71">
        <v>20</v>
      </c>
      <c r="I97" s="261" t="s">
        <v>168</v>
      </c>
      <c r="J97" s="261"/>
      <c r="K97">
        <f>IF(AND(L60&gt;0,L61&gt;0,L62&gt;0,L62&gt;L60,M72&lt;L69,M72&gt;N71,M72&gt;L70,M72&lt;N70),20,0)</f>
        <v>0</v>
      </c>
      <c r="M97" s="71">
        <v>20</v>
      </c>
      <c r="N97" s="261" t="s">
        <v>169</v>
      </c>
      <c r="O97" s="261"/>
      <c r="P97">
        <f>IF(AND(K60&gt;0,K61&gt;0,K62&gt;0,K62&gt;K60,N72&lt;K69,N72&gt;M71,N72&gt;K70,N72&lt;M70),20,0)</f>
        <v>0</v>
      </c>
      <c r="R97" s="71">
        <v>20</v>
      </c>
      <c r="S97" s="261" t="s">
        <v>170</v>
      </c>
      <c r="T97" s="261"/>
      <c r="U97">
        <f>IF(AND(L60&gt;0,L61&gt;0,L62&gt;0,L62&gt;L60,K72&lt;L69,K72&gt;N71,K72&gt;L70,K72&lt;N70),20,0)</f>
        <v>0</v>
      </c>
    </row>
    <row r="98" spans="3:21" x14ac:dyDescent="0.25">
      <c r="C98" s="71">
        <v>21</v>
      </c>
      <c r="D98" s="261" t="s">
        <v>171</v>
      </c>
      <c r="E98" s="261"/>
      <c r="F98" s="16">
        <f>IF(AND(K60&gt;0,K61&gt;0,K62&gt;0,K62&gt;K60+K61,M71&lt;K70,K71&lt;M70,K71&gt;=M71,L72&lt;=K71),21,0)</f>
        <v>21</v>
      </c>
      <c r="H98" s="71">
        <v>21</v>
      </c>
      <c r="I98" s="261" t="s">
        <v>172</v>
      </c>
      <c r="J98" s="261"/>
      <c r="K98">
        <f>IF(AND(L60&gt;0,L61&gt;0,L62&gt;0,L62&gt;L60+L61,N71&lt;L70,L71&lt;N70,L71&gt;=N71,M72&lt;=L71),21,0)</f>
        <v>0</v>
      </c>
      <c r="M98" s="71">
        <v>21</v>
      </c>
      <c r="N98" s="261" t="s">
        <v>171</v>
      </c>
      <c r="O98" s="261"/>
      <c r="P98">
        <f>IF(AND(K60&gt;0,K61&gt;0,K62&gt;0,K62&gt;K60+K61,M71&lt;K70,K71&lt;M70,K71&gt;=M71,N72&lt;=K71),21,0)</f>
        <v>0</v>
      </c>
      <c r="R98" s="71">
        <v>21</v>
      </c>
      <c r="S98" s="261" t="s">
        <v>172</v>
      </c>
      <c r="T98" s="261"/>
      <c r="U98">
        <f>IF(AND(L60&gt;0,L61&gt;0,L62&gt;0,L62&gt;L60+L61,N71&lt;L70,L71&lt;N70,L71&gt;=N71,K72&lt;=L71),21,0)</f>
        <v>0</v>
      </c>
    </row>
    <row r="99" spans="3:21" x14ac:dyDescent="0.25">
      <c r="C99" s="71">
        <v>22</v>
      </c>
      <c r="D99" s="261" t="s">
        <v>173</v>
      </c>
      <c r="E99" s="261"/>
      <c r="F99">
        <f>IF(AND(K60&gt;0,K61&gt;0,K62&gt;0,K62&gt;K60+K61,M71&lt;K70,K71&lt;M70,K71&lt;M71,L72&lt;=M71),22,0)</f>
        <v>0</v>
      </c>
      <c r="H99" s="71">
        <v>22</v>
      </c>
      <c r="I99" s="261" t="s">
        <v>174</v>
      </c>
      <c r="J99" s="261"/>
      <c r="K99">
        <f>IF(AND(L60&gt;0,L61&gt;0,L62&gt;0,L62&gt;L60+L61,N71&lt;L70,L71&lt;N70,L71&lt;N71,M72&lt;=N71),22,0)</f>
        <v>0</v>
      </c>
      <c r="M99" s="71">
        <v>22</v>
      </c>
      <c r="N99" s="261" t="s">
        <v>173</v>
      </c>
      <c r="O99" s="261"/>
      <c r="P99">
        <f>IF(AND(K60&gt;0,K61&gt;0,K62&gt;0,K62&gt;K60+K61,M71&lt;K70,K71&lt;M70,K71&lt;M71,N72&lt;=M71),22,0)</f>
        <v>0</v>
      </c>
      <c r="R99" s="71">
        <v>22</v>
      </c>
      <c r="S99" s="261" t="s">
        <v>174</v>
      </c>
      <c r="T99" s="261"/>
      <c r="U99">
        <f>IF(AND(L60&gt;0,L61&gt;0,L62&gt;0,L62&gt;L60+L61,N71&lt;L70,L71&lt;N70,L71&lt;N71,K72&lt;=N71),22,0)</f>
        <v>0</v>
      </c>
    </row>
    <row r="100" spans="3:21" x14ac:dyDescent="0.25">
      <c r="C100" s="71">
        <v>23</v>
      </c>
      <c r="D100" s="261" t="s">
        <v>175</v>
      </c>
      <c r="E100" s="261"/>
      <c r="F100">
        <f>IF(AND(K60&gt;0,K61&gt;0,K62&gt;0,K62&gt;K60+K61,L72&lt;K70,L72&lt;M70,L72&gt;K71,L72&gt;M71),23,0)</f>
        <v>0</v>
      </c>
      <c r="H100" s="71">
        <v>23</v>
      </c>
      <c r="I100" s="261" t="s">
        <v>176</v>
      </c>
      <c r="J100" s="261"/>
      <c r="K100">
        <f>IF(AND(L60&gt;0,L61&gt;0,L62&gt;0,L62&gt;L60+L61,M72&lt;L70,M72&lt;N70,M72&gt;L71,M72&gt;N71),23,0)</f>
        <v>0</v>
      </c>
      <c r="M100" s="71">
        <v>23</v>
      </c>
      <c r="N100" s="261" t="s">
        <v>177</v>
      </c>
      <c r="O100" s="261"/>
      <c r="P100">
        <f>IF(AND(K60&gt;0,K61&gt;0,K62&gt;0,K62&gt;K60+K61,N72&lt;K70,N72&lt;M70,N72&gt;K71,N72&gt;M71),23,0)</f>
        <v>0</v>
      </c>
      <c r="R100" s="71">
        <v>23</v>
      </c>
      <c r="S100" s="261" t="s">
        <v>178</v>
      </c>
      <c r="T100" s="261"/>
      <c r="U100">
        <f>IF(AND(L60&gt;0,L61&gt;0,L62&gt;0,L62&gt;L60+L61,K72&lt;L70,K72&lt;N70,K72&gt;L71,K72&gt;N71),23,0)</f>
        <v>0</v>
      </c>
    </row>
    <row r="102" spans="3:21" x14ac:dyDescent="0.25">
      <c r="C102" s="249" t="s">
        <v>179</v>
      </c>
      <c r="D102" s="249"/>
      <c r="E102" s="249"/>
      <c r="F102" s="73">
        <f>MAX(F78:F100)</f>
        <v>21</v>
      </c>
      <c r="H102" s="249" t="s">
        <v>179</v>
      </c>
      <c r="I102" s="249"/>
      <c r="J102" s="249"/>
      <c r="K102" s="73">
        <f>MAX(K78:K100)</f>
        <v>7</v>
      </c>
      <c r="M102" s="249" t="s">
        <v>179</v>
      </c>
      <c r="N102" s="249"/>
      <c r="O102" s="249"/>
      <c r="P102" s="73">
        <f>MAX(P78:P100)</f>
        <v>19</v>
      </c>
      <c r="R102" s="249" t="s">
        <v>179</v>
      </c>
      <c r="S102" s="249"/>
      <c r="T102" s="249"/>
      <c r="U102" s="73">
        <f>MAX(U78:U100)</f>
        <v>7</v>
      </c>
    </row>
    <row r="104" spans="3:21" x14ac:dyDescent="0.25">
      <c r="C104" s="246" t="s">
        <v>332</v>
      </c>
      <c r="D104" s="246"/>
      <c r="E104" s="246"/>
      <c r="F104" s="246"/>
      <c r="G104" s="246"/>
      <c r="H104" s="246"/>
      <c r="I104" s="246"/>
      <c r="J104" s="246"/>
      <c r="K104" s="246"/>
      <c r="L104" s="246"/>
      <c r="M104" s="246"/>
      <c r="N104" s="246"/>
      <c r="O104" s="246"/>
      <c r="P104" s="246"/>
      <c r="Q104" s="246"/>
      <c r="R104" s="246"/>
      <c r="S104" s="246"/>
      <c r="T104" s="246"/>
      <c r="U104" s="246"/>
    </row>
    <row r="105" spans="3:21" x14ac:dyDescent="0.25">
      <c r="C105" s="246"/>
      <c r="D105" s="246"/>
      <c r="E105" s="246"/>
      <c r="F105" s="246"/>
      <c r="G105" s="246"/>
      <c r="H105" s="246"/>
      <c r="I105" s="246"/>
      <c r="J105" s="246"/>
      <c r="K105" s="246"/>
      <c r="L105" s="246"/>
      <c r="M105" s="246"/>
      <c r="N105" s="246"/>
      <c r="O105" s="246"/>
      <c r="P105" s="246"/>
      <c r="Q105" s="246"/>
      <c r="R105" s="246"/>
      <c r="S105" s="246"/>
      <c r="T105" s="246"/>
      <c r="U105" s="246"/>
    </row>
  </sheetData>
  <sheetProtection algorithmName="SHA-512" hashValue="pMWKfDU4pWOzj7T5YPOmcn6+xibUb6aOhgZ2Jayjud8fqbpq3tV2Hzok9LyWZdidj/CD71JuqpLgoAm5YueW6Q==" saltValue="jIYFJZZuVwmUBHa56HTx4g==" spinCount="100000" sheet="1" objects="1" scenarios="1"/>
  <mergeCells count="167">
    <mergeCell ref="H24:I27"/>
    <mergeCell ref="O24:P27"/>
    <mergeCell ref="Q24:Q27"/>
    <mergeCell ref="J25:J26"/>
    <mergeCell ref="G28:G31"/>
    <mergeCell ref="J49:N51"/>
    <mergeCell ref="I40:I44"/>
    <mergeCell ref="J40:J44"/>
    <mergeCell ref="K40:K44"/>
    <mergeCell ref="L40:L44"/>
    <mergeCell ref="M40:M44"/>
    <mergeCell ref="N40:N44"/>
    <mergeCell ref="Q32:Q35"/>
    <mergeCell ref="J33:J34"/>
    <mergeCell ref="K20:K39"/>
    <mergeCell ref="D96:E96"/>
    <mergeCell ref="I96:J96"/>
    <mergeCell ref="N96:O96"/>
    <mergeCell ref="S96:T96"/>
    <mergeCell ref="D97:E97"/>
    <mergeCell ref="I97:J97"/>
    <mergeCell ref="N97:O97"/>
    <mergeCell ref="S97:T97"/>
    <mergeCell ref="D94:E94"/>
    <mergeCell ref="I94:J94"/>
    <mergeCell ref="N94:O94"/>
    <mergeCell ref="S94:T94"/>
    <mergeCell ref="D95:E95"/>
    <mergeCell ref="I95:J95"/>
    <mergeCell ref="N95:O95"/>
    <mergeCell ref="S95:T95"/>
    <mergeCell ref="C102:E102"/>
    <mergeCell ref="H102:J102"/>
    <mergeCell ref="M102:O102"/>
    <mergeCell ref="R102:T102"/>
    <mergeCell ref="D98:E98"/>
    <mergeCell ref="I98:J98"/>
    <mergeCell ref="N98:O98"/>
    <mergeCell ref="S98:T98"/>
    <mergeCell ref="D99:E99"/>
    <mergeCell ref="I99:J99"/>
    <mergeCell ref="N99:O99"/>
    <mergeCell ref="S99:T99"/>
    <mergeCell ref="D100:E100"/>
    <mergeCell ref="I100:J100"/>
    <mergeCell ref="N100:O100"/>
    <mergeCell ref="S100:T100"/>
    <mergeCell ref="D92:E92"/>
    <mergeCell ref="I92:J92"/>
    <mergeCell ref="N92:O92"/>
    <mergeCell ref="S92:T92"/>
    <mergeCell ref="D93:E93"/>
    <mergeCell ref="I93:J93"/>
    <mergeCell ref="N93:O93"/>
    <mergeCell ref="S93:T93"/>
    <mergeCell ref="D90:E90"/>
    <mergeCell ref="I90:J90"/>
    <mergeCell ref="N90:O90"/>
    <mergeCell ref="S90:T90"/>
    <mergeCell ref="D91:E91"/>
    <mergeCell ref="I91:J91"/>
    <mergeCell ref="N91:O91"/>
    <mergeCell ref="S91:T91"/>
    <mergeCell ref="D88:E88"/>
    <mergeCell ref="I88:J88"/>
    <mergeCell ref="N88:O88"/>
    <mergeCell ref="S88:T88"/>
    <mergeCell ref="D89:E89"/>
    <mergeCell ref="I89:J89"/>
    <mergeCell ref="N89:O89"/>
    <mergeCell ref="S89:T89"/>
    <mergeCell ref="D86:E86"/>
    <mergeCell ref="I86:J86"/>
    <mergeCell ref="N86:O86"/>
    <mergeCell ref="S86:T86"/>
    <mergeCell ref="D87:E87"/>
    <mergeCell ref="I87:J87"/>
    <mergeCell ref="N87:O87"/>
    <mergeCell ref="S87:T87"/>
    <mergeCell ref="D84:E84"/>
    <mergeCell ref="I84:J84"/>
    <mergeCell ref="N84:O84"/>
    <mergeCell ref="S84:T84"/>
    <mergeCell ref="D85:E85"/>
    <mergeCell ref="I85:J85"/>
    <mergeCell ref="N85:O85"/>
    <mergeCell ref="S85:T85"/>
    <mergeCell ref="D82:E82"/>
    <mergeCell ref="I82:J82"/>
    <mergeCell ref="N82:O82"/>
    <mergeCell ref="S82:T82"/>
    <mergeCell ref="D83:E83"/>
    <mergeCell ref="I83:J83"/>
    <mergeCell ref="N83:O83"/>
    <mergeCell ref="S83:T83"/>
    <mergeCell ref="J11:J14"/>
    <mergeCell ref="K11:K14"/>
    <mergeCell ref="L11:L14"/>
    <mergeCell ref="I81:J81"/>
    <mergeCell ref="N81:O81"/>
    <mergeCell ref="S81:T81"/>
    <mergeCell ref="S78:T78"/>
    <mergeCell ref="D79:E79"/>
    <mergeCell ref="I79:J79"/>
    <mergeCell ref="N79:O79"/>
    <mergeCell ref="S79:T79"/>
    <mergeCell ref="G36:G39"/>
    <mergeCell ref="H36:I39"/>
    <mergeCell ref="O36:P39"/>
    <mergeCell ref="Q36:Q39"/>
    <mergeCell ref="J37:J38"/>
    <mergeCell ref="L29:L30"/>
    <mergeCell ref="G20:G23"/>
    <mergeCell ref="H20:I23"/>
    <mergeCell ref="O20:P23"/>
    <mergeCell ref="Q20:Q23"/>
    <mergeCell ref="J21:J22"/>
    <mergeCell ref="I80:J80"/>
    <mergeCell ref="G24:G27"/>
    <mergeCell ref="S80:T80"/>
    <mergeCell ref="D81:E81"/>
    <mergeCell ref="B2:V3"/>
    <mergeCell ref="B6:V6"/>
    <mergeCell ref="J57:N57"/>
    <mergeCell ref="J66:N66"/>
    <mergeCell ref="C74:U74"/>
    <mergeCell ref="C76:F76"/>
    <mergeCell ref="H76:K76"/>
    <mergeCell ref="M76:P76"/>
    <mergeCell ref="R76:U76"/>
    <mergeCell ref="B4:V4"/>
    <mergeCell ref="I15:I18"/>
    <mergeCell ref="J15:J19"/>
    <mergeCell ref="K15:K19"/>
    <mergeCell ref="L15:L19"/>
    <mergeCell ref="M15:M19"/>
    <mergeCell ref="N15:N19"/>
    <mergeCell ref="H28:I31"/>
    <mergeCell ref="O28:P31"/>
    <mergeCell ref="Q28:Q31"/>
    <mergeCell ref="H19:I19"/>
    <mergeCell ref="J52:N54"/>
    <mergeCell ref="I11:I14"/>
    <mergeCell ref="E20:E39"/>
    <mergeCell ref="R20:R39"/>
    <mergeCell ref="J8:N10"/>
    <mergeCell ref="C104:U105"/>
    <mergeCell ref="M11:M14"/>
    <mergeCell ref="N11:N14"/>
    <mergeCell ref="F20:F39"/>
    <mergeCell ref="D78:E78"/>
    <mergeCell ref="I78:J78"/>
    <mergeCell ref="N78:O78"/>
    <mergeCell ref="J29:J30"/>
    <mergeCell ref="N29:N30"/>
    <mergeCell ref="O19:P19"/>
    <mergeCell ref="G32:G35"/>
    <mergeCell ref="H32:I35"/>
    <mergeCell ref="O32:P35"/>
    <mergeCell ref="I45:I48"/>
    <mergeCell ref="J45:J48"/>
    <mergeCell ref="K45:K48"/>
    <mergeCell ref="L45:L48"/>
    <mergeCell ref="M45:M48"/>
    <mergeCell ref="N45:N48"/>
    <mergeCell ref="D80:E80"/>
    <mergeCell ref="N80:O80"/>
  </mergeCells>
  <conditionalFormatting sqref="O20:P39 J41:K44 H20:I39 J16:K19 J15:L15 M15:N19 J40:L40 M40:N44">
    <cfRule type="colorScale" priority="5">
      <colorScale>
        <cfvo type="min"/>
        <cfvo type="max"/>
        <color rgb="FFFFFF00"/>
        <color rgb="FFFF0000"/>
      </colorScale>
    </cfRule>
  </conditionalFormatting>
  <conditionalFormatting sqref="F78:F100">
    <cfRule type="cellIs" dxfId="3" priority="4" operator="greaterThan">
      <formula>0</formula>
    </cfRule>
  </conditionalFormatting>
  <conditionalFormatting sqref="K78:K100">
    <cfRule type="cellIs" dxfId="2" priority="3" operator="greaterThan">
      <formula>0</formula>
    </cfRule>
  </conditionalFormatting>
  <conditionalFormatting sqref="P78:P100">
    <cfRule type="cellIs" dxfId="1" priority="2" operator="greaterThan">
      <formula>0</formula>
    </cfRule>
  </conditionalFormatting>
  <conditionalFormatting sqref="U78:U100">
    <cfRule type="cellIs" dxfId="0" priority="1" operator="greaterThan">
      <formula>0</formula>
    </cfRule>
  </conditionalFormatting>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22</vt:i4>
      </vt:variant>
    </vt:vector>
  </HeadingPairs>
  <TitlesOfParts>
    <vt:vector size="43" baseType="lpstr">
      <vt:lpstr>Wstęp</vt:lpstr>
      <vt:lpstr>Instrukcja</vt:lpstr>
      <vt:lpstr>Obliczenia nośności T</vt:lpstr>
      <vt:lpstr>Obliczenia nośności W</vt:lpstr>
      <vt:lpstr>Obliczenia nośności H</vt:lpstr>
      <vt:lpstr>Obliczenia wiatr I</vt:lpstr>
      <vt:lpstr>Obliczenia wiatr II</vt:lpstr>
      <vt:lpstr>Wyniki graficzne wiatr I</vt:lpstr>
      <vt:lpstr>Wyniki graficzne wiatr II</vt:lpstr>
      <vt:lpstr>Łączniki wiatr I</vt:lpstr>
      <vt:lpstr>Łączniki wiatr II</vt:lpstr>
      <vt:lpstr>Przemieszczenia wiatr I</vt:lpstr>
      <vt:lpstr>Przemieszczenia wiatr II</vt:lpstr>
      <vt:lpstr>Wyniki końcowe wiatr I</vt:lpstr>
      <vt:lpstr>Wyniki końcowe wiatr II</vt:lpstr>
      <vt:lpstr>Rozmieszczenie łączników</vt:lpstr>
      <vt:lpstr>Strefy i teren</vt:lpstr>
      <vt:lpstr>Wsp kierunkowy</vt:lpstr>
      <vt:lpstr>Pola ścian</vt:lpstr>
      <vt:lpstr>Wysokość przemieszczenia</vt:lpstr>
      <vt:lpstr>Notatki</vt:lpstr>
      <vt:lpstr>'Obliczenia nośności H'!liczby010</vt:lpstr>
      <vt:lpstr>'Obliczenia nośności W'!liczby010</vt:lpstr>
      <vt:lpstr>liczby010</vt:lpstr>
      <vt:lpstr>'Obliczenia wiatr I'!Norma</vt:lpstr>
      <vt:lpstr>Norma</vt:lpstr>
      <vt:lpstr>'Obliczenia wiatr I'!Strefy</vt:lpstr>
      <vt:lpstr>Strefy</vt:lpstr>
      <vt:lpstr>strefyn</vt:lpstr>
      <vt:lpstr>strefyroz</vt:lpstr>
      <vt:lpstr>'Obliczenia wiatr I'!Strfey</vt:lpstr>
      <vt:lpstr>Strfey</vt:lpstr>
      <vt:lpstr>'Obliczenia wiatr I'!Teren</vt:lpstr>
      <vt:lpstr>Teren</vt:lpstr>
      <vt:lpstr>wspkier</vt:lpstr>
      <vt:lpstr>wyso1</vt:lpstr>
      <vt:lpstr>wyso2</vt:lpstr>
      <vt:lpstr>wyso3</vt:lpstr>
      <vt:lpstr>wysod</vt:lpstr>
      <vt:lpstr>wysodn</vt:lpstr>
      <vt:lpstr>wysok1</vt:lpstr>
      <vt:lpstr>wysok2</vt:lpstr>
      <vt:lpstr>wysok3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Kalkulator Łączników SSO</dc:title>
  <dc:creator>Mariusz Gaczek</dc:creator>
  <dc:description>Wersja z dnia 2018-09-24</dc:description>
  <cp:lastModifiedBy>Janusz Mitko</cp:lastModifiedBy>
  <cp:lastPrinted>2018-07-22T10:20:39Z</cp:lastPrinted>
  <dcterms:created xsi:type="dcterms:W3CDTF">2016-11-27T18:46:26Z</dcterms:created>
  <dcterms:modified xsi:type="dcterms:W3CDTF">2018-10-05T07:32:29Z</dcterms:modified>
</cp:coreProperties>
</file>